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92" windowHeight="10992"/>
  </bookViews>
  <sheets>
    <sheet name="Projected Revenue" sheetId="2" r:id="rId1"/>
    <sheet name="Budget Allocation" sheetId="3" r:id="rId2"/>
  </sheets>
  <externalReferences>
    <externalReference r:id="rId3"/>
    <externalReference r:id="rId4"/>
    <externalReference r:id="rId5"/>
  </externalReferences>
  <definedNames>
    <definedName name="_xlnm.Print_Area" localSheetId="0">'Projected Revenue'!$A$1:$J$29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4" i="3" l="1"/>
  <c r="G63" i="3"/>
  <c r="G62" i="3"/>
  <c r="G61" i="3"/>
  <c r="G60" i="3"/>
  <c r="G59" i="3"/>
  <c r="G58" i="3"/>
  <c r="G57" i="3"/>
  <c r="G56" i="3"/>
  <c r="G55" i="3"/>
  <c r="G38" i="3"/>
  <c r="G37" i="3"/>
  <c r="G36" i="3"/>
  <c r="G35" i="3"/>
  <c r="G34" i="3"/>
  <c r="G33" i="3"/>
  <c r="G32" i="3"/>
  <c r="G31" i="3"/>
  <c r="G30" i="3"/>
  <c r="J64" i="3"/>
  <c r="E23" i="3"/>
  <c r="E22" i="3"/>
  <c r="E32" i="3" s="1"/>
  <c r="E21" i="3"/>
  <c r="K39" i="3"/>
  <c r="K33" i="3"/>
  <c r="E48" i="3" l="1"/>
  <c r="K35" i="2"/>
  <c r="E45" i="3" l="1"/>
  <c r="E57" i="3" s="1"/>
  <c r="E64" i="3" s="1"/>
  <c r="E100" i="2"/>
  <c r="D100" i="2"/>
  <c r="C100" i="2"/>
  <c r="E99" i="2"/>
  <c r="D99" i="2"/>
  <c r="F94" i="2"/>
  <c r="E44" i="3"/>
  <c r="C64" i="3"/>
  <c r="C39" i="3"/>
  <c r="F39" i="3"/>
  <c r="J34" i="3"/>
  <c r="J39" i="3" s="1"/>
  <c r="E39" i="3"/>
  <c r="E20" i="3"/>
  <c r="E24" i="3" s="1"/>
  <c r="G15" i="3"/>
  <c r="H14" i="3"/>
  <c r="D14" i="3"/>
  <c r="F14" i="3" s="1"/>
  <c r="H13" i="3"/>
  <c r="D13" i="3"/>
  <c r="F13" i="3" s="1"/>
  <c r="H12" i="3"/>
  <c r="D12" i="3"/>
  <c r="H11" i="3"/>
  <c r="D11" i="3"/>
  <c r="F11" i="3" s="1"/>
  <c r="H10" i="3"/>
  <c r="D10" i="3"/>
  <c r="F10" i="3" s="1"/>
  <c r="H9" i="3"/>
  <c r="D9" i="3"/>
  <c r="F9" i="3" s="1"/>
  <c r="H8" i="3"/>
  <c r="E8" i="3"/>
  <c r="E15" i="3" s="1"/>
  <c r="D8" i="3"/>
  <c r="H7" i="3"/>
  <c r="D7" i="3"/>
  <c r="F7" i="3" s="1"/>
  <c r="H6" i="3"/>
  <c r="D6" i="3"/>
  <c r="F6" i="3" s="1"/>
  <c r="I9" i="3" l="1"/>
  <c r="H33" i="3" s="1"/>
  <c r="I11" i="3"/>
  <c r="H35" i="3" s="1"/>
  <c r="I13" i="3"/>
  <c r="H37" i="3" s="1"/>
  <c r="I10" i="3"/>
  <c r="H34" i="3" s="1"/>
  <c r="I14" i="3"/>
  <c r="H38" i="3" s="1"/>
  <c r="I6" i="3"/>
  <c r="F8" i="3"/>
  <c r="I8" i="3" s="1"/>
  <c r="H32" i="3" s="1"/>
  <c r="I7" i="3"/>
  <c r="H31" i="3" s="1"/>
  <c r="E46" i="3"/>
  <c r="H15" i="3"/>
  <c r="F95" i="2"/>
  <c r="C99" i="2"/>
  <c r="C101" i="2" s="1"/>
  <c r="F96" i="2"/>
  <c r="E101" i="2"/>
  <c r="F100" i="2"/>
  <c r="D101" i="2"/>
  <c r="D15" i="3"/>
  <c r="C6" i="3" s="1"/>
  <c r="C96" i="2"/>
  <c r="E96" i="2"/>
  <c r="D96" i="2"/>
  <c r="H30" i="3"/>
  <c r="F12" i="3"/>
  <c r="I12" i="3" s="1"/>
  <c r="H36" i="3" s="1"/>
  <c r="D59" i="3" l="1"/>
  <c r="D62" i="3"/>
  <c r="D61" i="3"/>
  <c r="D57" i="3"/>
  <c r="D63" i="3"/>
  <c r="D58" i="3"/>
  <c r="D60" i="3"/>
  <c r="D56" i="3"/>
  <c r="D55" i="3"/>
  <c r="C7" i="3"/>
  <c r="C12" i="3"/>
  <c r="C14" i="3"/>
  <c r="C9" i="3"/>
  <c r="C13" i="3"/>
  <c r="F99" i="2"/>
  <c r="F101" i="2" s="1"/>
  <c r="F15" i="3"/>
  <c r="C11" i="3"/>
  <c r="C8" i="3"/>
  <c r="C10" i="3"/>
  <c r="H39" i="3"/>
  <c r="D33" i="3"/>
  <c r="D31" i="3"/>
  <c r="D35" i="3"/>
  <c r="D38" i="3"/>
  <c r="D36" i="3"/>
  <c r="D34" i="3"/>
  <c r="D32" i="3"/>
  <c r="D30" i="3"/>
  <c r="D37" i="3"/>
  <c r="I15" i="3"/>
  <c r="D64" i="3" l="1"/>
  <c r="I36" i="3"/>
  <c r="H61" i="3"/>
  <c r="I61" i="3" s="1"/>
  <c r="I34" i="3"/>
  <c r="H59" i="3"/>
  <c r="I59" i="3" s="1"/>
  <c r="I35" i="3"/>
  <c r="H60" i="3"/>
  <c r="I60" i="3" s="1"/>
  <c r="I31" i="3"/>
  <c r="H56" i="3"/>
  <c r="I56" i="3" s="1"/>
  <c r="I32" i="3"/>
  <c r="H57" i="3"/>
  <c r="I57" i="3" s="1"/>
  <c r="I38" i="3"/>
  <c r="H63" i="3"/>
  <c r="I63" i="3" s="1"/>
  <c r="I33" i="3"/>
  <c r="H58" i="3"/>
  <c r="I37" i="3"/>
  <c r="H62" i="3"/>
  <c r="I62" i="3" s="1"/>
  <c r="C15" i="3"/>
  <c r="H55" i="3"/>
  <c r="D39" i="3"/>
  <c r="H64" i="3" l="1"/>
  <c r="I55" i="3"/>
  <c r="G39" i="3"/>
  <c r="G40" i="3" s="1"/>
  <c r="I30" i="3"/>
  <c r="I39" i="3" s="1"/>
  <c r="L38" i="2" l="1"/>
  <c r="K29" i="2"/>
  <c r="K39" i="2" l="1"/>
  <c r="K38" i="2"/>
  <c r="K37" i="2"/>
  <c r="E67" i="2" l="1"/>
  <c r="E75" i="2" s="1"/>
  <c r="E66" i="2"/>
  <c r="E74" i="2" s="1"/>
  <c r="F60" i="2"/>
  <c r="E48" i="2"/>
  <c r="D48" i="2"/>
  <c r="D67" i="2"/>
  <c r="D75" i="2" s="1"/>
  <c r="D66" i="2"/>
  <c r="D74" i="2" s="1"/>
  <c r="F56" i="2"/>
  <c r="E65" i="2"/>
  <c r="E73" i="2" s="1"/>
  <c r="D65" i="2"/>
  <c r="D73" i="2" s="1"/>
  <c r="F55" i="2"/>
  <c r="E64" i="2"/>
  <c r="D64" i="2"/>
  <c r="F54" i="2"/>
  <c r="F53" i="2"/>
  <c r="E45" i="2"/>
  <c r="E44" i="2"/>
  <c r="F40" i="2"/>
  <c r="K36" i="2" s="1"/>
  <c r="E85" i="2"/>
  <c r="D85" i="2"/>
  <c r="F38" i="2"/>
  <c r="E47" i="2"/>
  <c r="D84" i="2"/>
  <c r="C84" i="2"/>
  <c r="E46" i="2"/>
  <c r="D83" i="2"/>
  <c r="F36" i="2"/>
  <c r="E82" i="2"/>
  <c r="D82" i="2"/>
  <c r="C82" i="2"/>
  <c r="F82" i="2" s="1"/>
  <c r="E81" i="2"/>
  <c r="I18" i="2"/>
  <c r="I29" i="2" s="1"/>
  <c r="L36" i="2" l="1"/>
  <c r="E49" i="2"/>
  <c r="D39" i="2"/>
  <c r="E59" i="2"/>
  <c r="F58" i="2"/>
  <c r="D47" i="2"/>
  <c r="D68" i="2"/>
  <c r="D76" i="2" s="1"/>
  <c r="F37" i="2"/>
  <c r="C47" i="2"/>
  <c r="E63" i="2"/>
  <c r="E72" i="2" s="1"/>
  <c r="E68" i="2"/>
  <c r="E76" i="2" s="1"/>
  <c r="F35" i="2"/>
  <c r="C45" i="2"/>
  <c r="D81" i="2"/>
  <c r="D86" i="2" s="1"/>
  <c r="C59" i="2"/>
  <c r="C39" i="2"/>
  <c r="D46" i="2"/>
  <c r="D59" i="2"/>
  <c r="F57" i="2"/>
  <c r="E39" i="2"/>
  <c r="D45" i="2"/>
  <c r="C48" i="2"/>
  <c r="C64" i="2"/>
  <c r="F64" i="2" s="1"/>
  <c r="C66" i="2"/>
  <c r="C68" i="2"/>
  <c r="C81" i="2"/>
  <c r="C83" i="2"/>
  <c r="C85" i="2"/>
  <c r="F85" i="2" s="1"/>
  <c r="E83" i="2"/>
  <c r="C46" i="2"/>
  <c r="C44" i="2"/>
  <c r="C63" i="2"/>
  <c r="C65" i="2"/>
  <c r="C67" i="2"/>
  <c r="F34" i="2"/>
  <c r="D44" i="2"/>
  <c r="D63" i="2"/>
  <c r="E84" i="2"/>
  <c r="F84" i="2" s="1"/>
  <c r="F64" i="3" l="1"/>
  <c r="F59" i="2"/>
  <c r="F61" i="2" s="1"/>
  <c r="E86" i="2"/>
  <c r="E77" i="2"/>
  <c r="F39" i="2"/>
  <c r="F41" i="2" s="1"/>
  <c r="F83" i="2"/>
  <c r="C49" i="2"/>
  <c r="E69" i="2"/>
  <c r="F65" i="2"/>
  <c r="C73" i="2"/>
  <c r="F73" i="2" s="1"/>
  <c r="F63" i="2"/>
  <c r="C69" i="2"/>
  <c r="C72" i="2"/>
  <c r="C86" i="2"/>
  <c r="F81" i="2"/>
  <c r="F86" i="2" s="1"/>
  <c r="J16" i="2" s="1"/>
  <c r="D69" i="2"/>
  <c r="D72" i="2"/>
  <c r="D77" i="2" s="1"/>
  <c r="F68" i="2"/>
  <c r="C76" i="2"/>
  <c r="F76" i="2" s="1"/>
  <c r="D49" i="2"/>
  <c r="F66" i="2"/>
  <c r="C74" i="2"/>
  <c r="F74" i="2" s="1"/>
  <c r="F67" i="2"/>
  <c r="C75" i="2"/>
  <c r="F75" i="2" s="1"/>
  <c r="G64" i="3" l="1"/>
  <c r="I58" i="3"/>
  <c r="I64" i="3" s="1"/>
  <c r="C77" i="2"/>
  <c r="F72" i="2"/>
  <c r="F77" i="2" s="1"/>
  <c r="J15" i="2" s="1"/>
  <c r="J18" i="2" s="1"/>
  <c r="J29" i="2" s="1"/>
  <c r="F69" i="2"/>
</calcChain>
</file>

<file path=xl/sharedStrings.xml><?xml version="1.0" encoding="utf-8"?>
<sst xmlns="http://schemas.openxmlformats.org/spreadsheetml/2006/main" count="170" uniqueCount="74">
  <si>
    <t>College of Micronesia - FSM</t>
  </si>
  <si>
    <t>FY 2028 Revenue Projection</t>
  </si>
  <si>
    <t>Assumptions:</t>
  </si>
  <si>
    <t>Based on  3 year average enrollment  + 5% increase in HC &amp; CC</t>
  </si>
  <si>
    <t>Revision No. 1</t>
  </si>
  <si>
    <t>2021</t>
  </si>
  <si>
    <t>Tuition</t>
  </si>
  <si>
    <t>Registration/Health/Student Activity</t>
  </si>
  <si>
    <t>Facility fee</t>
  </si>
  <si>
    <t>Residence Hall</t>
  </si>
  <si>
    <t>Lab/Scuba Class fee</t>
  </si>
  <si>
    <t>Graduation/Transcript Fee</t>
  </si>
  <si>
    <t>Other Fees</t>
  </si>
  <si>
    <t>FSM</t>
  </si>
  <si>
    <t>FSM-Gen Fund</t>
  </si>
  <si>
    <t xml:space="preserve">Bookstore </t>
  </si>
  <si>
    <t>Dining Hall</t>
  </si>
  <si>
    <t>Fund Balance</t>
  </si>
  <si>
    <t>Total</t>
  </si>
  <si>
    <t xml:space="preserve">Number of Students </t>
  </si>
  <si>
    <t>Campus</t>
  </si>
  <si>
    <t xml:space="preserve">Fall </t>
  </si>
  <si>
    <t xml:space="preserve">Spring </t>
  </si>
  <si>
    <t xml:space="preserve">Summer </t>
  </si>
  <si>
    <t>National</t>
  </si>
  <si>
    <t>CTEC</t>
  </si>
  <si>
    <t>Chuuk</t>
  </si>
  <si>
    <t>Kosrae</t>
  </si>
  <si>
    <t>Yap</t>
  </si>
  <si>
    <t xml:space="preserve">Average Credit </t>
  </si>
  <si>
    <t>Average</t>
  </si>
  <si>
    <t>Number of Credits (Based on Average)</t>
  </si>
  <si>
    <t>Bachelor</t>
  </si>
  <si>
    <t>Tuition (Based at $145/165 per credit)</t>
  </si>
  <si>
    <t>Tuition, net of 7.5% D/A and Tuition Remission</t>
  </si>
  <si>
    <t>Student/Health/Registration</t>
  </si>
  <si>
    <t>Health Fee</t>
  </si>
  <si>
    <t>Student Activity Fee</t>
  </si>
  <si>
    <t>Tech Fee</t>
  </si>
  <si>
    <t>Fiscal Year 2026</t>
  </si>
  <si>
    <t>Original allocation for FY2026</t>
  </si>
  <si>
    <t>Additional $1M</t>
  </si>
  <si>
    <t>2026 Allocation</t>
  </si>
  <si>
    <t>Health &amp; Student Activity Fee</t>
  </si>
  <si>
    <t>Student Support</t>
  </si>
  <si>
    <t>Office of the President</t>
  </si>
  <si>
    <t>VPIA</t>
  </si>
  <si>
    <t>VPEMSS</t>
  </si>
  <si>
    <t>VPIEQA</t>
  </si>
  <si>
    <t>VPIS</t>
  </si>
  <si>
    <t xml:space="preserve">Kosrae </t>
  </si>
  <si>
    <t>Fiscal year 2027</t>
  </si>
  <si>
    <t>Projected Revenue</t>
  </si>
  <si>
    <t>Less: Health and Student Activity Fees</t>
  </si>
  <si>
    <t xml:space="preserve">           Facility fees</t>
  </si>
  <si>
    <t>For Allocation</t>
  </si>
  <si>
    <t>Allocation for FY2027</t>
  </si>
  <si>
    <t>2027 Allocation</t>
  </si>
  <si>
    <t>Tech Fee(30%)</t>
  </si>
  <si>
    <t>Facility Fee</t>
  </si>
  <si>
    <t>FY2026</t>
  </si>
  <si>
    <t>Difference</t>
  </si>
  <si>
    <t>Fiscal year 2028</t>
  </si>
  <si>
    <t>Allocation for FY2028</t>
  </si>
  <si>
    <t>2028 Allocation</t>
  </si>
  <si>
    <t>Regular Sem</t>
  </si>
  <si>
    <t>Full time</t>
  </si>
  <si>
    <t>Part time</t>
  </si>
  <si>
    <t>Head Count</t>
  </si>
  <si>
    <t>Part Time</t>
  </si>
  <si>
    <t>FY2027</t>
  </si>
  <si>
    <t>Restricted Revenue</t>
  </si>
  <si>
    <t>Tech Fee 70%</t>
  </si>
  <si>
    <t>Add : Other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</si>
</sst>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Calibri Light"/>
      <family val="2"/>
      <scheme val="major"/>
    </font>
    <font>
      <sz val="10"/>
      <color rgb="FFFF0000"/>
      <name val="Arial"/>
      <family val="2"/>
    </font>
    <font>
      <b/>
      <u/>
      <sz val="10"/>
      <color rgb="FF00660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u val="singleAccounting"/>
      <sz val="10"/>
      <name val="Arial"/>
      <family val="2"/>
    </font>
    <font>
      <b/>
      <u val="singleAccounting"/>
      <sz val="10"/>
      <color theme="0"/>
      <name val="Arial"/>
      <family val="2"/>
    </font>
    <font>
      <b/>
      <u/>
      <sz val="11"/>
      <color theme="1"/>
      <name val="Calibri"/>
      <family val="2"/>
      <scheme val="minor"/>
    </font>
    <font>
      <b/>
      <sz val="10"/>
      <color rgb="FF006600"/>
      <name val="Arial"/>
      <family val="2"/>
    </font>
    <font>
      <b/>
      <sz val="8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11"/>
      <color rgb="FF0066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30">
    <xf numFmtId="0" fontId="0" fillId="0" borderId="0" xfId="0"/>
    <xf numFmtId="0" fontId="4" fillId="0" borderId="0" xfId="2" applyFont="1"/>
    <xf numFmtId="0" fontId="1" fillId="0" borderId="0" xfId="3"/>
    <xf numFmtId="0" fontId="3" fillId="0" borderId="0" xfId="2"/>
    <xf numFmtId="0" fontId="5" fillId="0" borderId="0" xfId="3" applyFont="1"/>
    <xf numFmtId="0" fontId="6" fillId="0" borderId="0" xfId="2" applyFont="1"/>
    <xf numFmtId="0" fontId="3" fillId="0" borderId="0" xfId="2" applyFont="1"/>
    <xf numFmtId="0" fontId="7" fillId="0" borderId="0" xfId="2" applyFont="1"/>
    <xf numFmtId="164" fontId="3" fillId="0" borderId="0" xfId="4" applyNumberFormat="1" applyFont="1"/>
    <xf numFmtId="0" fontId="3" fillId="0" borderId="0" xfId="2" applyBorder="1" applyAlignment="1">
      <alignment horizontal="center"/>
    </xf>
    <xf numFmtId="0" fontId="2" fillId="0" borderId="0" xfId="3" applyFont="1" applyBorder="1" applyAlignment="1">
      <alignment horizontal="center"/>
    </xf>
    <xf numFmtId="0" fontId="2" fillId="0" borderId="0" xfId="3" quotePrefix="1" applyFont="1" applyBorder="1" applyAlignment="1">
      <alignment horizontal="center"/>
    </xf>
    <xf numFmtId="0" fontId="2" fillId="0" borderId="0" xfId="3" applyFont="1" applyFill="1" applyBorder="1" applyAlignment="1">
      <alignment horizontal="center"/>
    </xf>
    <xf numFmtId="0" fontId="1" fillId="0" borderId="1" xfId="3" applyBorder="1" applyAlignment="1">
      <alignment horizontal="center"/>
    </xf>
    <xf numFmtId="164" fontId="3" fillId="0" borderId="0" xfId="4" applyNumberFormat="1" applyFont="1" applyBorder="1"/>
    <xf numFmtId="164" fontId="8" fillId="0" borderId="0" xfId="4" applyNumberFormat="1" applyFont="1" applyBorder="1"/>
    <xf numFmtId="164" fontId="2" fillId="0" borderId="0" xfId="3" applyNumberFormat="1" applyFont="1" applyBorder="1"/>
    <xf numFmtId="164" fontId="2" fillId="0" borderId="0" xfId="5" applyNumberFormat="1" applyFont="1" applyFill="1" applyBorder="1"/>
    <xf numFmtId="164" fontId="1" fillId="0" borderId="2" xfId="3" applyNumberFormat="1" applyBorder="1"/>
    <xf numFmtId="164" fontId="1" fillId="0" borderId="3" xfId="3" applyNumberFormat="1" applyBorder="1"/>
    <xf numFmtId="164" fontId="4" fillId="0" borderId="0" xfId="2" applyNumberFormat="1" applyFont="1" applyBorder="1"/>
    <xf numFmtId="164" fontId="9" fillId="0" borderId="0" xfId="2" applyNumberFormat="1" applyFont="1" applyBorder="1"/>
    <xf numFmtId="164" fontId="9" fillId="0" borderId="0" xfId="2" applyNumberFormat="1" applyFont="1" applyFill="1" applyBorder="1"/>
    <xf numFmtId="164" fontId="4" fillId="0" borderId="4" xfId="2" applyNumberFormat="1" applyFont="1" applyBorder="1"/>
    <xf numFmtId="0" fontId="3" fillId="0" borderId="0" xfId="2" applyBorder="1"/>
    <xf numFmtId="164" fontId="4" fillId="0" borderId="3" xfId="2" applyNumberFormat="1" applyFont="1" applyBorder="1"/>
    <xf numFmtId="164" fontId="4" fillId="0" borderId="3" xfId="2" applyNumberFormat="1" applyFont="1" applyFill="1" applyBorder="1"/>
    <xf numFmtId="0" fontId="1" fillId="0" borderId="0" xfId="3" applyFont="1"/>
    <xf numFmtId="164" fontId="10" fillId="0" borderId="0" xfId="2" applyNumberFormat="1" applyFont="1" applyBorder="1"/>
    <xf numFmtId="164" fontId="11" fillId="0" borderId="0" xfId="2" applyNumberFormat="1" applyFont="1" applyBorder="1"/>
    <xf numFmtId="164" fontId="11" fillId="0" borderId="0" xfId="2" applyNumberFormat="1" applyFont="1" applyFill="1" applyBorder="1"/>
    <xf numFmtId="164" fontId="10" fillId="0" borderId="5" xfId="2" applyNumberFormat="1" applyFont="1" applyBorder="1"/>
    <xf numFmtId="164" fontId="4" fillId="0" borderId="1" xfId="2" applyNumberFormat="1" applyFont="1" applyBorder="1"/>
    <xf numFmtId="0" fontId="12" fillId="0" borderId="0" xfId="3" applyFont="1"/>
    <xf numFmtId="0" fontId="13" fillId="0" borderId="0" xfId="2" applyFont="1" applyFill="1"/>
    <xf numFmtId="0" fontId="13" fillId="0" borderId="0" xfId="2" applyFont="1"/>
    <xf numFmtId="0" fontId="13" fillId="0" borderId="0" xfId="2" applyFont="1" applyBorder="1"/>
    <xf numFmtId="0" fontId="4" fillId="0" borderId="0" xfId="2" applyFont="1" applyAlignment="1">
      <alignment horizontal="center"/>
    </xf>
    <xf numFmtId="0" fontId="14" fillId="0" borderId="6" xfId="2" applyFont="1" applyBorder="1" applyAlignment="1">
      <alignment horizontal="center"/>
    </xf>
    <xf numFmtId="0" fontId="15" fillId="0" borderId="0" xfId="2" applyFont="1" applyFill="1"/>
    <xf numFmtId="0" fontId="16" fillId="0" borderId="0" xfId="2" applyFont="1" applyFill="1"/>
    <xf numFmtId="164" fontId="16" fillId="0" borderId="0" xfId="6" applyNumberFormat="1" applyFont="1" applyFill="1"/>
    <xf numFmtId="0" fontId="3" fillId="0" borderId="0" xfId="2" applyFill="1"/>
    <xf numFmtId="0" fontId="17" fillId="0" borderId="0" xfId="3" applyFont="1"/>
    <xf numFmtId="0" fontId="18" fillId="0" borderId="0" xfId="2" applyFont="1" applyFill="1"/>
    <xf numFmtId="164" fontId="18" fillId="0" borderId="7" xfId="6" applyNumberFormat="1" applyFont="1" applyFill="1" applyBorder="1"/>
    <xf numFmtId="43" fontId="1" fillId="0" borderId="0" xfId="6" applyFont="1"/>
    <xf numFmtId="164" fontId="1" fillId="0" borderId="0" xfId="3" applyNumberFormat="1"/>
    <xf numFmtId="164" fontId="3" fillId="0" borderId="0" xfId="2" applyNumberFormat="1"/>
    <xf numFmtId="164" fontId="3" fillId="0" borderId="0" xfId="2" applyNumberFormat="1" applyBorder="1"/>
    <xf numFmtId="165" fontId="16" fillId="0" borderId="0" xfId="6" applyNumberFormat="1" applyFont="1" applyFill="1"/>
    <xf numFmtId="0" fontId="19" fillId="0" borderId="0" xfId="3" applyFont="1"/>
    <xf numFmtId="165" fontId="18" fillId="0" borderId="7" xfId="6" applyNumberFormat="1" applyFont="1" applyFill="1" applyBorder="1"/>
    <xf numFmtId="43" fontId="16" fillId="0" borderId="0" xfId="6" applyNumberFormat="1" applyFont="1" applyFill="1"/>
    <xf numFmtId="43" fontId="1" fillId="0" borderId="0" xfId="3" applyNumberFormat="1"/>
    <xf numFmtId="0" fontId="20" fillId="0" borderId="0" xfId="3" applyFont="1"/>
    <xf numFmtId="164" fontId="18" fillId="0" borderId="8" xfId="6" applyNumberFormat="1" applyFont="1" applyFill="1" applyBorder="1"/>
    <xf numFmtId="164" fontId="18" fillId="0" borderId="0" xfId="6" applyNumberFormat="1" applyFont="1" applyFill="1" applyBorder="1"/>
    <xf numFmtId="0" fontId="1" fillId="0" borderId="6" xfId="3" applyBorder="1"/>
    <xf numFmtId="0" fontId="1" fillId="0" borderId="0" xfId="3" applyBorder="1"/>
    <xf numFmtId="0" fontId="0" fillId="0" borderId="0" xfId="3" applyFont="1"/>
    <xf numFmtId="43" fontId="1" fillId="0" borderId="0" xfId="1"/>
    <xf numFmtId="43" fontId="17" fillId="0" borderId="0" xfId="1" applyFont="1"/>
    <xf numFmtId="0" fontId="1" fillId="0" borderId="0" xfId="9"/>
    <xf numFmtId="0" fontId="21" fillId="0" borderId="9" xfId="9" applyFont="1" applyBorder="1"/>
    <xf numFmtId="0" fontId="1" fillId="0" borderId="10" xfId="9" applyBorder="1"/>
    <xf numFmtId="43" fontId="22" fillId="0" borderId="10" xfId="10" applyFont="1" applyBorder="1"/>
    <xf numFmtId="0" fontId="1" fillId="0" borderId="11" xfId="9" applyBorder="1"/>
    <xf numFmtId="0" fontId="1" fillId="0" borderId="12" xfId="9" applyBorder="1"/>
    <xf numFmtId="0" fontId="1" fillId="0" borderId="0" xfId="9" applyBorder="1"/>
    <xf numFmtId="0" fontId="1" fillId="0" borderId="0" xfId="9" applyBorder="1" applyAlignment="1">
      <alignment wrapText="1"/>
    </xf>
    <xf numFmtId="43" fontId="0" fillId="0" borderId="0" xfId="10" applyFont="1" applyBorder="1"/>
    <xf numFmtId="43" fontId="0" fillId="0" borderId="13" xfId="10" applyFont="1" applyBorder="1"/>
    <xf numFmtId="9" fontId="0" fillId="0" borderId="0" xfId="11" applyFont="1" applyBorder="1"/>
    <xf numFmtId="164" fontId="0" fillId="0" borderId="0" xfId="12" applyNumberFormat="1" applyFont="1" applyBorder="1"/>
    <xf numFmtId="164" fontId="1" fillId="0" borderId="0" xfId="9" applyNumberFormat="1" applyBorder="1"/>
    <xf numFmtId="164" fontId="0" fillId="0" borderId="0" xfId="10" applyNumberFormat="1" applyFont="1" applyBorder="1"/>
    <xf numFmtId="164" fontId="0" fillId="0" borderId="13" xfId="10" applyNumberFormat="1" applyFont="1" applyBorder="1"/>
    <xf numFmtId="9" fontId="0" fillId="0" borderId="6" xfId="11" applyFont="1" applyBorder="1"/>
    <xf numFmtId="164" fontId="0" fillId="0" borderId="6" xfId="12" applyNumberFormat="1" applyFont="1" applyBorder="1"/>
    <xf numFmtId="164" fontId="1" fillId="0" borderId="6" xfId="9" applyNumberFormat="1" applyBorder="1"/>
    <xf numFmtId="164" fontId="0" fillId="0" borderId="6" xfId="10" applyNumberFormat="1" applyFont="1" applyBorder="1"/>
    <xf numFmtId="164" fontId="0" fillId="0" borderId="14" xfId="10" applyNumberFormat="1" applyFont="1" applyBorder="1"/>
    <xf numFmtId="9" fontId="0" fillId="0" borderId="7" xfId="11" applyFont="1" applyBorder="1"/>
    <xf numFmtId="164" fontId="0" fillId="0" borderId="7" xfId="12" applyNumberFormat="1" applyFont="1" applyBorder="1"/>
    <xf numFmtId="164" fontId="0" fillId="0" borderId="15" xfId="12" applyNumberFormat="1" applyFont="1" applyBorder="1"/>
    <xf numFmtId="0" fontId="1" fillId="0" borderId="16" xfId="9" applyBorder="1"/>
    <xf numFmtId="0" fontId="1" fillId="0" borderId="17" xfId="9" applyBorder="1"/>
    <xf numFmtId="0" fontId="1" fillId="0" borderId="18" xfId="9" applyBorder="1"/>
    <xf numFmtId="0" fontId="1" fillId="0" borderId="13" xfId="9" applyBorder="1"/>
    <xf numFmtId="43" fontId="1" fillId="0" borderId="0" xfId="10" applyFont="1" applyBorder="1"/>
    <xf numFmtId="43" fontId="22" fillId="0" borderId="0" xfId="10" applyFont="1" applyBorder="1"/>
    <xf numFmtId="164" fontId="1" fillId="0" borderId="13" xfId="9" applyNumberFormat="1" applyBorder="1"/>
    <xf numFmtId="43" fontId="0" fillId="0" borderId="0" xfId="10" applyFont="1"/>
    <xf numFmtId="43" fontId="1" fillId="0" borderId="0" xfId="9" applyNumberFormat="1"/>
    <xf numFmtId="0" fontId="21" fillId="0" borderId="9" xfId="0" applyFont="1" applyBorder="1"/>
    <xf numFmtId="0" fontId="0" fillId="0" borderId="10" xfId="0" applyBorder="1"/>
    <xf numFmtId="0" fontId="0" fillId="0" borderId="12" xfId="0" applyBorder="1"/>
    <xf numFmtId="0" fontId="0" fillId="0" borderId="0" xfId="0" applyBorder="1"/>
    <xf numFmtId="43" fontId="0" fillId="0" borderId="0" xfId="1" applyFont="1" applyBorder="1"/>
    <xf numFmtId="43" fontId="22" fillId="0" borderId="0" xfId="1" applyFont="1" applyBorder="1"/>
    <xf numFmtId="0" fontId="0" fillId="0" borderId="0" xfId="0" applyBorder="1" applyAlignment="1">
      <alignment wrapText="1"/>
    </xf>
    <xf numFmtId="9" fontId="0" fillId="0" borderId="0" xfId="8" applyFont="1" applyBorder="1"/>
    <xf numFmtId="164" fontId="0" fillId="0" borderId="0" xfId="7" applyNumberFormat="1" applyFont="1" applyBorder="1"/>
    <xf numFmtId="164" fontId="0" fillId="0" borderId="0" xfId="0" applyNumberFormat="1" applyBorder="1"/>
    <xf numFmtId="164" fontId="0" fillId="0" borderId="0" xfId="1" applyNumberFormat="1" applyFont="1" applyBorder="1"/>
    <xf numFmtId="9" fontId="0" fillId="0" borderId="7" xfId="8" applyFont="1" applyBorder="1"/>
    <xf numFmtId="164" fontId="0" fillId="0" borderId="7" xfId="7" applyNumberFormat="1" applyFont="1" applyBorder="1"/>
    <xf numFmtId="0" fontId="0" fillId="0" borderId="16" xfId="0" applyBorder="1"/>
    <xf numFmtId="0" fontId="0" fillId="0" borderId="17" xfId="0" applyBorder="1"/>
    <xf numFmtId="0" fontId="21" fillId="0" borderId="0" xfId="13" applyFont="1"/>
    <xf numFmtId="0" fontId="1" fillId="0" borderId="0" xfId="13"/>
    <xf numFmtId="0" fontId="1" fillId="0" borderId="0" xfId="13" applyAlignment="1">
      <alignment horizontal="center"/>
    </xf>
    <xf numFmtId="164" fontId="1" fillId="0" borderId="0" xfId="14" applyNumberFormat="1" applyFont="1"/>
    <xf numFmtId="9" fontId="1" fillId="0" borderId="0" xfId="13" applyNumberFormat="1"/>
    <xf numFmtId="0" fontId="16" fillId="0" borderId="0" xfId="2" applyFont="1"/>
    <xf numFmtId="0" fontId="20" fillId="0" borderId="0" xfId="13" applyFont="1"/>
    <xf numFmtId="0" fontId="1" fillId="0" borderId="0" xfId="13" applyFont="1"/>
    <xf numFmtId="0" fontId="17" fillId="0" borderId="0" xfId="13" applyFont="1"/>
    <xf numFmtId="43" fontId="1" fillId="0" borderId="0" xfId="1" applyFont="1" applyBorder="1"/>
    <xf numFmtId="0" fontId="0" fillId="0" borderId="0" xfId="9" applyFont="1" applyBorder="1"/>
    <xf numFmtId="43" fontId="1" fillId="0" borderId="0" xfId="9" applyNumberFormat="1" applyBorder="1"/>
    <xf numFmtId="0" fontId="0" fillId="0" borderId="0" xfId="9" applyFont="1"/>
    <xf numFmtId="43" fontId="1" fillId="0" borderId="17" xfId="9" applyNumberFormat="1" applyBorder="1"/>
    <xf numFmtId="0" fontId="0" fillId="0" borderId="12" xfId="9" applyFont="1" applyBorder="1"/>
    <xf numFmtId="0" fontId="0" fillId="0" borderId="12" xfId="9" applyFont="1" applyBorder="1" applyAlignment="1">
      <alignment horizontal="center"/>
    </xf>
    <xf numFmtId="0" fontId="1" fillId="0" borderId="0" xfId="9" applyAlignment="1">
      <alignment horizontal="center"/>
    </xf>
    <xf numFmtId="0" fontId="1" fillId="0" borderId="0" xfId="9" applyBorder="1" applyAlignment="1">
      <alignment horizontal="center"/>
    </xf>
    <xf numFmtId="0" fontId="1" fillId="0" borderId="13" xfId="9" applyBorder="1" applyAlignment="1">
      <alignment horizontal="center"/>
    </xf>
    <xf numFmtId="0" fontId="0" fillId="0" borderId="0" xfId="0" applyBorder="1" applyAlignment="1">
      <alignment horizontal="center"/>
    </xf>
  </cellXfs>
  <cellStyles count="15">
    <cellStyle name="Comma" xfId="1" builtinId="3"/>
    <cellStyle name="Comma 10" xfId="10"/>
    <cellStyle name="Comma 4" xfId="6"/>
    <cellStyle name="Comma 7" xfId="4"/>
    <cellStyle name="Comma 7 3" xfId="14"/>
    <cellStyle name="Currency" xfId="7" builtinId="4"/>
    <cellStyle name="Currency 3" xfId="12"/>
    <cellStyle name="Normal" xfId="0" builtinId="0"/>
    <cellStyle name="Normal 11" xfId="9"/>
    <cellStyle name="Normal 3" xfId="2"/>
    <cellStyle name="Normal 7 2" xfId="5"/>
    <cellStyle name="Normal 8" xfId="3"/>
    <cellStyle name="Normal 8 3" xfId="13"/>
    <cellStyle name="Percent" xfId="8" builtinId="5"/>
    <cellStyle name="Percent 7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bt-29Aug2026/Budget/2028%20Budget/Revenue/FY%202028%20Projected%20Revenu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bt-15Jun2026/Budget/2027%20Budget/FY2027(Budget%20Allocation).xl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rbt-15Jun2026/Budget/2027%20Budget/FY2027%20Consolidated%20Budget(Approved%20By%20EC)-For%20SL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uuk"/>
      <sheetName val="Yap"/>
      <sheetName val="Campus"/>
      <sheetName val="Summary"/>
      <sheetName val="Proj Rev "/>
      <sheetName val="Per Campus"/>
      <sheetName val="Credit projection"/>
      <sheetName val="Revenue Projection"/>
      <sheetName val="Used 2022 data"/>
      <sheetName val="Proj Rev (2023) -5yr averag"/>
      <sheetName val="Proj Rev (2024)2022 hc + 3%"/>
      <sheetName val="Proj Rev (2024)2022 hc + 3%AC"/>
      <sheetName val="Proj Rev (2024)2022 hc + 5%"/>
      <sheetName val="Proj Rev + 5%(Oct3)"/>
      <sheetName val="Budget Comparison (3)"/>
      <sheetName val="Enrollment"/>
      <sheetName val="2024(actual fall)"/>
      <sheetName val="2024(actual fall)-TF increase"/>
      <sheetName val="2026 Summary"/>
      <sheetName val="2028 Summary"/>
      <sheetName val="2025-2026 Actual"/>
      <sheetName val="225-26 Actual +5% increase HH "/>
      <sheetName val="25-26 Actual +5% increae in CC "/>
      <sheetName val="25-26 +5% increae in HC &amp; CC"/>
      <sheetName val="3yr average"/>
      <sheetName val="3yr average + 5% increase in HC"/>
      <sheetName val="3yr average + 5% increase in CC"/>
      <sheetName val="3yr av + 5% increase in HH &amp; CC"/>
      <sheetName val="2025(3yrs. ave.)-no increase"/>
      <sheetName val="2025(5yrs. ave.)"/>
      <sheetName val="2025(5yrs. ave.)-no increase"/>
      <sheetName val="2025(2023 Actual)"/>
      <sheetName val="2025(2023 Actual)no increase"/>
      <sheetName val="2024-2025"/>
      <sheetName val="Req. by Pres."/>
      <sheetName val="Budget Comparison (4)"/>
      <sheetName val="2024"/>
      <sheetName val="Budget Comparison"/>
      <sheetName val="Budget Comparison (2)"/>
      <sheetName val="Allocation"/>
      <sheetName val="Adjusted"/>
      <sheetName val="Adj if $1M not approved"/>
      <sheetName val="(B)$844K will not be approved"/>
      <sheetName val="(C)$844K will not be approved"/>
      <sheetName val="(D)$844K will not be approved"/>
      <sheetName val="Summary(Nov. 02)"/>
      <sheetName val="2024-vacant positions"/>
      <sheetName val="Adjustment 2023"/>
      <sheetName val="Addtl. funding needed"/>
      <sheetName val="Adjustment"/>
      <sheetName val="Adjustment (4% increase)"/>
      <sheetName val="Adjustment (3% increase)"/>
      <sheetName val="Sheet1"/>
      <sheetName val="Kosrae"/>
      <sheetName val="exp line dept (2015-2017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39">
          <cell r="F39">
            <v>4342</v>
          </cell>
        </row>
        <row r="59">
          <cell r="F59">
            <v>45006.333333333328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uuk"/>
      <sheetName val="Yap"/>
      <sheetName val="Campus"/>
      <sheetName val="Summary"/>
      <sheetName val="Proj Rev "/>
      <sheetName val="Per Campus"/>
      <sheetName val="Credit projection"/>
      <sheetName val="Revenue Projection"/>
      <sheetName val="Used 2022 data"/>
      <sheetName val="Proj Rev (2023) -5yr averag"/>
      <sheetName val="Proj Rev (2024)2022 hc + 3%"/>
      <sheetName val="Proj Rev (2024)2022 hc + 3%AC"/>
      <sheetName val="Proj Rev (2024)2022 hc + 5%"/>
      <sheetName val="Proj Rev + 5%(Oct3)"/>
      <sheetName val="Budget Comparison (3)"/>
      <sheetName val="Enrollment"/>
      <sheetName val="2024(actual fall)"/>
      <sheetName val="2024(actual fall)-TF increase"/>
      <sheetName val="2026 Summary"/>
      <sheetName val="2026(actual 2024)"/>
      <sheetName val="2026(Actual 2024+5% HC &amp; 7% CC)"/>
      <sheetName val="2026 Allocation"/>
      <sheetName val="2026 Budget"/>
      <sheetName val="2027"/>
      <sheetName val="Adjustments-Nov. 28"/>
      <sheetName val="2026(actual 2024 +5% in HC)"/>
      <sheetName val="2026(actual 2024+5% in CC)"/>
      <sheetName val="2026(actual 2024+5% in HC &amp; CC)"/>
      <sheetName val="2026(3yrs. ave.)"/>
      <sheetName val="2026(3yrs. ave +5% in HC)"/>
      <sheetName val="2026(3yrs. ave.+5% in CC)"/>
      <sheetName val="2026(3yrs. +5% in HC&amp;CC)"/>
      <sheetName val="2025(3yrs. ave.)-no increase"/>
      <sheetName val="2025(5yrs. ave.)"/>
      <sheetName val="2025(5yrs. ave.)-no increase"/>
      <sheetName val="2025(2023 Actual)"/>
      <sheetName val="2025(2023 Actual)no increase"/>
      <sheetName val="2024-2025"/>
      <sheetName val="Req. by Pres."/>
      <sheetName val="Budget Comparison (4)"/>
      <sheetName val="2024"/>
      <sheetName val="Budget Comparison"/>
      <sheetName val="Budget Comparison (2)"/>
      <sheetName val="Allocation"/>
      <sheetName val="Adjusted"/>
      <sheetName val="Adj if $1M not approved"/>
      <sheetName val="(B)$844K will not be approved"/>
      <sheetName val="(C)$844K will not be approved"/>
      <sheetName val="(D)$844K will not be approved"/>
      <sheetName val="Summary(Nov. 02)"/>
      <sheetName val="2024-vacant positions"/>
      <sheetName val="Adjustment 2023"/>
      <sheetName val="Addtl. funding needed"/>
      <sheetName val="Adjustment"/>
      <sheetName val="Adjustment (4% increase)"/>
      <sheetName val="Adjustment (3% increase)"/>
      <sheetName val="Sheet1"/>
      <sheetName val="Kosrae"/>
      <sheetName val="exp line dept (2015-2017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70">
          <cell r="D70">
            <v>651832.20237510861</v>
          </cell>
          <cell r="F70">
            <v>1650178.3615830769</v>
          </cell>
          <cell r="G70">
            <v>1202757.9864673791</v>
          </cell>
          <cell r="H70">
            <v>747896.83423460065</v>
          </cell>
          <cell r="I70">
            <v>652210.53691153834</v>
          </cell>
          <cell r="J70">
            <v>532464.47578477976</v>
          </cell>
          <cell r="K70">
            <v>2979492.5629451158</v>
          </cell>
          <cell r="L70">
            <v>1842932.8758175743</v>
          </cell>
          <cell r="M70">
            <v>1205355.6008932022</v>
          </cell>
        </row>
        <row r="75">
          <cell r="M75">
            <v>153265</v>
          </cell>
        </row>
        <row r="77">
          <cell r="D77">
            <v>51168.143779423335</v>
          </cell>
          <cell r="F77">
            <v>129537.26949897691</v>
          </cell>
          <cell r="G77">
            <v>94415.239626342664</v>
          </cell>
          <cell r="H77">
            <v>58709.116559217327</v>
          </cell>
          <cell r="I77">
            <v>51197.842643465672</v>
          </cell>
          <cell r="J77">
            <v>41797.902520182841</v>
          </cell>
          <cell r="K77">
            <v>233887.03917203093</v>
          </cell>
          <cell r="L77">
            <v>144668.29656782353</v>
          </cell>
          <cell r="M77">
            <v>94619.149632537068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uuk"/>
      <sheetName val="Yap"/>
      <sheetName val="Campus"/>
      <sheetName val="Summary"/>
      <sheetName val="Proj Rev "/>
      <sheetName val="Per Campus"/>
      <sheetName val="Credit projection"/>
      <sheetName val="Revenue Projection"/>
      <sheetName val="Used 2022 data"/>
      <sheetName val="Proj Rev (2023) -5yr averag"/>
      <sheetName val="Proj Rev (2024)2022 hc + 3%"/>
      <sheetName val="Proj Rev (2024)2022 hc + 3%AC"/>
      <sheetName val="Proj Rev (2024)2022 hc + 5%"/>
      <sheetName val="Proj Rev + 5%(Oct3)"/>
      <sheetName val="Budget Comparison (3)"/>
      <sheetName val="Enrollment"/>
      <sheetName val="2024(actual fall)"/>
      <sheetName val="2024(actual fall)-TF increase"/>
      <sheetName val="2026 Summary"/>
      <sheetName val="2026(actual 2024)"/>
      <sheetName val="2026(Actual 2024+5% HC &amp; 7% CC)"/>
      <sheetName val="2026 Allocation"/>
      <sheetName val="Projected Revenue"/>
      <sheetName val="Budget Allocation"/>
      <sheetName val="2027 Budget"/>
      <sheetName val="Adjustments-Nov. 28"/>
      <sheetName val="2026(actual 2024 +5% in HC)"/>
      <sheetName val="2026(actual 2024+5% in CC)"/>
      <sheetName val="2026(actual 2024+5% in HC &amp; CC)"/>
      <sheetName val="2026(3yrs. ave.)"/>
      <sheetName val="2026(3yrs. ave +5% in HC)"/>
      <sheetName val="2026(3yrs. ave.+5% in CC)"/>
      <sheetName val="2026(3yrs. +5% in HC&amp;CC)"/>
      <sheetName val="2025(3yrs. ave.)-no increase"/>
      <sheetName val="2025(5yrs. ave.)"/>
      <sheetName val="2025(5yrs. ave.)-no increase"/>
      <sheetName val="2025(2023 Actual)"/>
      <sheetName val="2025(2023 Actual)no increase"/>
      <sheetName val="2024-2025"/>
      <sheetName val="Req. by Pres."/>
      <sheetName val="Budget Comparison (4)"/>
      <sheetName val="2024"/>
      <sheetName val="Budget Comparison"/>
      <sheetName val="Budget Comparison (2)"/>
      <sheetName val="Allocation"/>
      <sheetName val="Adjusted"/>
      <sheetName val="Adj if $1M not approved"/>
      <sheetName val="(B)$844K will not be approved"/>
      <sheetName val="(C)$844K will not be approved"/>
      <sheetName val="(D)$844K will not be approved"/>
      <sheetName val="Summary(Nov. 02)"/>
      <sheetName val="2024-vacant positions"/>
      <sheetName val="Adjustment 2023"/>
      <sheetName val="Addtl. funding needed"/>
      <sheetName val="Adjustment"/>
      <sheetName val="Adjustment (4% increase)"/>
      <sheetName val="Adjustment (3% increase)"/>
      <sheetName val="Sheet1"/>
      <sheetName val="Kosrae"/>
      <sheetName val="exp line dept (2015-2017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7">
          <cell r="J17">
            <v>582585</v>
          </cell>
        </row>
        <row r="28">
          <cell r="J28">
            <v>12099372.275</v>
          </cell>
        </row>
        <row r="39">
          <cell r="J39">
            <v>152670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tabSelected="1" workbookViewId="0">
      <selection activeCell="L36" sqref="L36"/>
    </sheetView>
  </sheetViews>
  <sheetFormatPr defaultColWidth="9.15625" defaultRowHeight="14.4" x14ac:dyDescent="0.55000000000000004"/>
  <cols>
    <col min="1" max="1" width="4" style="2" customWidth="1"/>
    <col min="2" max="2" width="11.578125" style="2" customWidth="1"/>
    <col min="3" max="3" width="11.26171875" style="2" customWidth="1"/>
    <col min="4" max="4" width="11.15625" style="2" customWidth="1"/>
    <col min="5" max="5" width="11" style="2" customWidth="1"/>
    <col min="6" max="6" width="11.26171875" style="2" customWidth="1"/>
    <col min="7" max="8" width="12" style="2" hidden="1" customWidth="1"/>
    <col min="9" max="9" width="11.26171875" style="2" customWidth="1"/>
    <col min="10" max="10" width="14.41796875" style="2" customWidth="1"/>
    <col min="11" max="11" width="14.26171875" style="2" bestFit="1" customWidth="1"/>
    <col min="12" max="12" width="11.578125" style="2" bestFit="1" customWidth="1"/>
    <col min="13" max="16384" width="9.15625" style="2"/>
  </cols>
  <sheetData>
    <row r="1" spans="1:10" ht="15" x14ac:dyDescent="0.25">
      <c r="A1" s="1" t="s">
        <v>0</v>
      </c>
      <c r="B1" s="1"/>
    </row>
    <row r="2" spans="1:10" ht="15" x14ac:dyDescent="0.25">
      <c r="A2" s="1" t="s">
        <v>1</v>
      </c>
      <c r="B2" s="1"/>
    </row>
    <row r="3" spans="1:10" ht="15" hidden="1" x14ac:dyDescent="0.25"/>
    <row r="4" spans="1:10" ht="15" hidden="1" x14ac:dyDescent="0.25">
      <c r="A4" s="1"/>
      <c r="B4" s="3"/>
      <c r="C4" s="3"/>
      <c r="D4" s="3"/>
      <c r="E4" s="3"/>
      <c r="F4" s="3"/>
      <c r="G4" s="3"/>
      <c r="H4" s="3"/>
    </row>
    <row r="5" spans="1:10" ht="15" hidden="1" x14ac:dyDescent="0.25">
      <c r="A5" s="1"/>
      <c r="B5" s="1" t="s">
        <v>2</v>
      </c>
      <c r="C5" s="3"/>
      <c r="D5" s="3"/>
      <c r="E5" s="3"/>
      <c r="F5" s="3"/>
      <c r="G5" s="3"/>
      <c r="H5" s="3"/>
    </row>
    <row r="6" spans="1:10" ht="15.75" x14ac:dyDescent="0.25">
      <c r="A6" s="4" t="s">
        <v>3</v>
      </c>
      <c r="B6" s="4"/>
      <c r="C6" s="3"/>
      <c r="D6" s="3"/>
      <c r="E6" s="3"/>
      <c r="F6" s="3"/>
      <c r="G6" s="3"/>
      <c r="H6" s="3"/>
    </row>
    <row r="7" spans="1:10" ht="15.75" hidden="1" x14ac:dyDescent="0.25">
      <c r="A7" s="1"/>
      <c r="B7" s="4"/>
      <c r="C7" s="5"/>
      <c r="D7" s="5"/>
      <c r="E7" s="5"/>
      <c r="F7" s="3"/>
      <c r="G7" s="3"/>
      <c r="H7" s="3"/>
    </row>
    <row r="8" spans="1:10" ht="15.75" hidden="1" x14ac:dyDescent="0.25">
      <c r="A8" s="1"/>
      <c r="B8" s="4"/>
      <c r="C8" s="3"/>
      <c r="D8" s="3"/>
      <c r="E8" s="3"/>
      <c r="F8" s="3"/>
      <c r="G8" s="3"/>
      <c r="H8" s="3"/>
    </row>
    <row r="9" spans="1:10" ht="15" hidden="1" x14ac:dyDescent="0.25">
      <c r="A9" s="1"/>
      <c r="B9" s="6"/>
      <c r="F9" s="3"/>
      <c r="G9" s="3"/>
      <c r="H9" s="3"/>
    </row>
    <row r="10" spans="1:10" ht="15" hidden="1" x14ac:dyDescent="0.25">
      <c r="A10" s="1"/>
      <c r="B10" s="6"/>
      <c r="F10" s="3"/>
      <c r="G10" s="3"/>
      <c r="H10" s="3"/>
    </row>
    <row r="11" spans="1:10" ht="15" hidden="1" x14ac:dyDescent="0.25">
      <c r="A11" s="1"/>
      <c r="B11" s="6"/>
      <c r="F11" s="3"/>
      <c r="G11" s="3"/>
      <c r="H11" s="3"/>
    </row>
    <row r="12" spans="1:10" ht="15" hidden="1" x14ac:dyDescent="0.25">
      <c r="A12" s="1"/>
      <c r="B12" s="6"/>
      <c r="F12" s="3"/>
      <c r="G12" s="3"/>
      <c r="H12" s="3"/>
    </row>
    <row r="13" spans="1:10" ht="15.75" thickBot="1" x14ac:dyDescent="0.3">
      <c r="A13" s="1"/>
      <c r="F13" s="3"/>
      <c r="G13" s="3"/>
      <c r="H13" s="3"/>
    </row>
    <row r="14" spans="1:10" ht="15.75" thickBot="1" x14ac:dyDescent="0.3">
      <c r="A14" s="1"/>
      <c r="B14" s="7" t="s">
        <v>4</v>
      </c>
      <c r="C14" s="8"/>
      <c r="D14" s="8"/>
      <c r="E14" s="9"/>
      <c r="F14" s="10">
        <v>2020</v>
      </c>
      <c r="G14" s="11" t="s">
        <v>5</v>
      </c>
      <c r="H14" s="10">
        <v>2022</v>
      </c>
      <c r="I14" s="12">
        <v>2023</v>
      </c>
      <c r="J14" s="13">
        <v>2028</v>
      </c>
    </row>
    <row r="15" spans="1:10" ht="15" x14ac:dyDescent="0.25">
      <c r="A15" s="1"/>
      <c r="B15" s="6" t="s">
        <v>6</v>
      </c>
      <c r="C15" s="8"/>
      <c r="D15" s="8"/>
      <c r="E15" s="14"/>
      <c r="F15" s="15">
        <v>8601614.0616435129</v>
      </c>
      <c r="G15" s="16">
        <v>8364293</v>
      </c>
      <c r="H15" s="16">
        <v>6757506.5625</v>
      </c>
      <c r="I15" s="17">
        <v>6438777.9249999998</v>
      </c>
      <c r="J15" s="18">
        <f>F77</f>
        <v>6401843.8312500007</v>
      </c>
    </row>
    <row r="16" spans="1:10" ht="15" x14ac:dyDescent="0.25">
      <c r="A16" s="1"/>
      <c r="B16" s="6" t="s">
        <v>7</v>
      </c>
      <c r="C16" s="8"/>
      <c r="D16" s="8"/>
      <c r="E16" s="14"/>
      <c r="F16" s="15">
        <v>265377.5</v>
      </c>
      <c r="G16" s="16">
        <v>248710</v>
      </c>
      <c r="H16" s="16">
        <v>243508.33333333337</v>
      </c>
      <c r="I16" s="17">
        <v>229940</v>
      </c>
      <c r="J16" s="19">
        <f>F86</f>
        <v>227955</v>
      </c>
    </row>
    <row r="17" spans="1:11" ht="15" x14ac:dyDescent="0.25">
      <c r="A17" s="1"/>
      <c r="B17" s="6" t="s">
        <v>8</v>
      </c>
      <c r="C17" s="8"/>
      <c r="D17" s="8"/>
      <c r="E17" s="14"/>
      <c r="F17" s="15">
        <v>771511.61670609645</v>
      </c>
      <c r="G17" s="16">
        <v>826945</v>
      </c>
      <c r="H17" s="16">
        <v>664921.66666666674</v>
      </c>
      <c r="I17" s="17">
        <v>615507.79999999993</v>
      </c>
      <c r="J17" s="19">
        <v>0</v>
      </c>
    </row>
    <row r="18" spans="1:11" ht="15" x14ac:dyDescent="0.25">
      <c r="A18" s="1"/>
      <c r="B18" s="6"/>
      <c r="C18" s="8"/>
      <c r="D18" s="8"/>
      <c r="E18" s="20"/>
      <c r="F18" s="21">
        <v>9638503.1783496086</v>
      </c>
      <c r="G18" s="21">
        <v>9439948</v>
      </c>
      <c r="H18" s="21">
        <v>7665936.5625</v>
      </c>
      <c r="I18" s="22">
        <f>SUM(I15:I17)</f>
        <v>7284225.7249999996</v>
      </c>
      <c r="J18" s="23">
        <f>SUM(J15:J17)</f>
        <v>6629798.8312500007</v>
      </c>
    </row>
    <row r="19" spans="1:11" ht="15" hidden="1" x14ac:dyDescent="0.25">
      <c r="A19" s="1"/>
      <c r="B19" s="6"/>
      <c r="C19" s="8"/>
      <c r="D19" s="8"/>
      <c r="E19" s="24"/>
      <c r="F19" s="21"/>
      <c r="G19" s="21"/>
      <c r="H19" s="21"/>
      <c r="I19" s="22"/>
      <c r="J19" s="25"/>
    </row>
    <row r="20" spans="1:11" ht="15" x14ac:dyDescent="0.25">
      <c r="A20" s="1"/>
      <c r="B20" s="6" t="s">
        <v>9</v>
      </c>
      <c r="C20" s="8"/>
      <c r="D20" s="8"/>
      <c r="E20" s="20"/>
      <c r="F20" s="21">
        <v>100000</v>
      </c>
      <c r="G20" s="21">
        <v>120000</v>
      </c>
      <c r="H20" s="21">
        <v>100000</v>
      </c>
      <c r="I20" s="22">
        <v>100000</v>
      </c>
      <c r="J20" s="26">
        <v>79862.98</v>
      </c>
      <c r="K20" s="27"/>
    </row>
    <row r="21" spans="1:11" ht="15" x14ac:dyDescent="0.25">
      <c r="A21" s="1"/>
      <c r="B21" s="6" t="s">
        <v>10</v>
      </c>
      <c r="C21" s="8"/>
      <c r="D21" s="8"/>
      <c r="E21" s="20"/>
      <c r="F21" s="21"/>
      <c r="G21" s="21"/>
      <c r="H21" s="21"/>
      <c r="I21" s="22"/>
      <c r="J21" s="26">
        <v>25736.100000000002</v>
      </c>
      <c r="K21" s="27"/>
    </row>
    <row r="22" spans="1:11" ht="15" x14ac:dyDescent="0.25">
      <c r="A22" s="1"/>
      <c r="B22" s="6" t="s">
        <v>11</v>
      </c>
      <c r="C22" s="8"/>
      <c r="D22" s="8"/>
      <c r="E22" s="20"/>
      <c r="F22" s="21"/>
      <c r="G22" s="21"/>
      <c r="H22" s="21"/>
      <c r="I22" s="22"/>
      <c r="J22" s="26">
        <v>13620.666666666666</v>
      </c>
      <c r="K22" s="27"/>
    </row>
    <row r="23" spans="1:11" ht="15" x14ac:dyDescent="0.25">
      <c r="A23" s="1"/>
      <c r="B23" s="6" t="s">
        <v>12</v>
      </c>
      <c r="C23" s="8"/>
      <c r="D23" s="8"/>
      <c r="E23" s="20"/>
      <c r="F23" s="21"/>
      <c r="G23" s="21"/>
      <c r="H23" s="21"/>
      <c r="I23" s="22"/>
      <c r="J23" s="26">
        <v>3982.9499999999994</v>
      </c>
      <c r="K23" s="27"/>
    </row>
    <row r="24" spans="1:11" ht="15" x14ac:dyDescent="0.25">
      <c r="A24" s="1"/>
      <c r="B24" s="6" t="s">
        <v>13</v>
      </c>
      <c r="C24" s="8"/>
      <c r="D24" s="8"/>
      <c r="E24" s="20"/>
      <c r="F24" s="21">
        <v>1000000</v>
      </c>
      <c r="G24" s="21">
        <v>1000000</v>
      </c>
      <c r="H24" s="21">
        <v>1000000</v>
      </c>
      <c r="I24" s="22">
        <v>1000000</v>
      </c>
      <c r="J24" s="25">
        <v>5018539</v>
      </c>
    </row>
    <row r="25" spans="1:11" ht="14.7" thickBot="1" x14ac:dyDescent="0.6">
      <c r="A25" s="1"/>
      <c r="B25" s="6" t="s">
        <v>14</v>
      </c>
      <c r="C25" s="8"/>
      <c r="D25" s="8"/>
      <c r="E25" s="20"/>
      <c r="F25" s="21">
        <v>2800000</v>
      </c>
      <c r="G25" s="21">
        <v>2800000</v>
      </c>
      <c r="H25" s="21">
        <v>3000000</v>
      </c>
      <c r="I25" s="22">
        <v>4000000</v>
      </c>
      <c r="J25" s="26"/>
    </row>
    <row r="26" spans="1:11" ht="15" hidden="1" customHeight="1" x14ac:dyDescent="0.25">
      <c r="A26" s="1"/>
      <c r="B26" s="6" t="s">
        <v>15</v>
      </c>
      <c r="C26" s="8"/>
      <c r="D26" s="8"/>
      <c r="E26" s="20"/>
      <c r="F26" s="21"/>
      <c r="G26" s="21"/>
      <c r="H26" s="21">
        <v>65253.152681976644</v>
      </c>
      <c r="I26" s="22"/>
      <c r="J26" s="25">
        <v>0</v>
      </c>
      <c r="K26" s="27"/>
    </row>
    <row r="27" spans="1:11" ht="15" hidden="1" customHeight="1" x14ac:dyDescent="0.25">
      <c r="A27" s="1"/>
      <c r="B27" s="6" t="s">
        <v>16</v>
      </c>
      <c r="C27" s="8"/>
      <c r="D27" s="8"/>
      <c r="E27" s="20"/>
      <c r="F27" s="21"/>
      <c r="G27" s="21"/>
      <c r="H27" s="21">
        <v>48533.325547200016</v>
      </c>
      <c r="I27" s="22"/>
      <c r="J27" s="25">
        <v>0</v>
      </c>
      <c r="K27" s="27"/>
    </row>
    <row r="28" spans="1:11" ht="17.25" hidden="1" thickBot="1" x14ac:dyDescent="0.4">
      <c r="A28" s="1"/>
      <c r="B28" s="6" t="s">
        <v>17</v>
      </c>
      <c r="C28" s="8"/>
      <c r="D28" s="8"/>
      <c r="E28" s="28"/>
      <c r="F28" s="29"/>
      <c r="G28" s="29"/>
      <c r="H28" s="29"/>
      <c r="I28" s="30"/>
      <c r="J28" s="31"/>
    </row>
    <row r="29" spans="1:11" ht="14.7" thickBot="1" x14ac:dyDescent="0.6">
      <c r="A29" s="1"/>
      <c r="B29" s="6" t="s">
        <v>18</v>
      </c>
      <c r="C29" s="8"/>
      <c r="D29" s="8"/>
      <c r="E29" s="20"/>
      <c r="F29" s="21">
        <v>13538503.178349609</v>
      </c>
      <c r="G29" s="21">
        <v>13359948</v>
      </c>
      <c r="H29" s="21">
        <v>11879723.040729176</v>
      </c>
      <c r="I29" s="22">
        <f>+I18+I20+I24+I25+I28</f>
        <v>12384225.725</v>
      </c>
      <c r="J29" s="32">
        <f>SUM(J18:J28)</f>
        <v>11771540.527916668</v>
      </c>
      <c r="K29" s="54">
        <f>+J29-K37-K38</f>
        <v>11611972.027916668</v>
      </c>
    </row>
    <row r="30" spans="1:11" x14ac:dyDescent="0.55000000000000004">
      <c r="A30" s="1"/>
      <c r="B30" s="6"/>
      <c r="C30" s="8"/>
      <c r="D30" s="8"/>
      <c r="E30" s="3"/>
      <c r="F30" s="3"/>
      <c r="G30" s="20"/>
      <c r="H30" s="20"/>
      <c r="I30" s="20"/>
      <c r="J30" s="20"/>
    </row>
    <row r="31" spans="1:11" x14ac:dyDescent="0.55000000000000004">
      <c r="A31" s="33" t="s">
        <v>19</v>
      </c>
      <c r="C31" s="3"/>
      <c r="D31" s="24"/>
      <c r="E31" s="24"/>
      <c r="F31" s="24"/>
      <c r="G31" s="3"/>
      <c r="H31" s="3"/>
    </row>
    <row r="32" spans="1:11" x14ac:dyDescent="0.55000000000000004">
      <c r="A32" s="33"/>
      <c r="B32" s="34"/>
      <c r="C32" s="35"/>
      <c r="D32" s="36"/>
      <c r="E32" s="36"/>
      <c r="F32" s="36"/>
      <c r="G32" s="35"/>
      <c r="H32" s="35"/>
    </row>
    <row r="33" spans="1:12" x14ac:dyDescent="0.55000000000000004">
      <c r="A33" s="3"/>
      <c r="B33" s="37" t="s">
        <v>20</v>
      </c>
      <c r="C33" s="38" t="s">
        <v>21</v>
      </c>
      <c r="D33" s="38" t="s">
        <v>22</v>
      </c>
      <c r="E33" s="38" t="s">
        <v>23</v>
      </c>
      <c r="F33" s="38" t="s">
        <v>18</v>
      </c>
      <c r="G33" s="3"/>
      <c r="H33" s="3"/>
    </row>
    <row r="34" spans="1:12" x14ac:dyDescent="0.55000000000000004">
      <c r="A34" s="39"/>
      <c r="B34" s="40" t="s">
        <v>24</v>
      </c>
      <c r="C34" s="41">
        <v>900.55</v>
      </c>
      <c r="D34" s="41">
        <v>762.30000000000007</v>
      </c>
      <c r="E34" s="41">
        <v>555.1</v>
      </c>
      <c r="F34" s="41">
        <f>SUM(C34:E34)</f>
        <v>2217.9499999999998</v>
      </c>
      <c r="G34" s="42"/>
      <c r="H34" s="42"/>
    </row>
    <row r="35" spans="1:12" x14ac:dyDescent="0.55000000000000004">
      <c r="A35" s="39"/>
      <c r="B35" s="40" t="s">
        <v>25</v>
      </c>
      <c r="C35" s="41">
        <v>368.20000000000005</v>
      </c>
      <c r="D35" s="41">
        <v>273.70000000000005</v>
      </c>
      <c r="E35" s="41">
        <v>259</v>
      </c>
      <c r="F35" s="41">
        <f t="shared" ref="F35:F38" si="0">SUM(C35:E35)</f>
        <v>900.90000000000009</v>
      </c>
      <c r="G35" s="42"/>
      <c r="H35" s="42"/>
      <c r="J35" s="60" t="s">
        <v>59</v>
      </c>
      <c r="K35" s="47">
        <f>+F101</f>
        <v>702350</v>
      </c>
    </row>
    <row r="36" spans="1:12" s="43" customFormat="1" x14ac:dyDescent="0.55000000000000004">
      <c r="A36" s="39"/>
      <c r="B36" s="40" t="s">
        <v>26</v>
      </c>
      <c r="C36" s="41">
        <v>255.85</v>
      </c>
      <c r="D36" s="41">
        <v>226.45</v>
      </c>
      <c r="E36" s="41">
        <v>191.1</v>
      </c>
      <c r="F36" s="41">
        <f t="shared" si="0"/>
        <v>673.4</v>
      </c>
      <c r="I36" s="2"/>
      <c r="J36" s="43" t="s">
        <v>38</v>
      </c>
      <c r="K36" s="62">
        <f>+F40*100</f>
        <v>455910.00000000006</v>
      </c>
      <c r="L36" s="43">
        <f>+K36*0.3</f>
        <v>136773</v>
      </c>
    </row>
    <row r="37" spans="1:12" x14ac:dyDescent="0.55000000000000004">
      <c r="A37" s="39"/>
      <c r="B37" s="40" t="s">
        <v>27</v>
      </c>
      <c r="C37" s="41">
        <v>124.25</v>
      </c>
      <c r="D37" s="41">
        <v>114.45</v>
      </c>
      <c r="E37" s="41">
        <v>98.7</v>
      </c>
      <c r="F37" s="41">
        <f t="shared" si="0"/>
        <v>337.4</v>
      </c>
      <c r="G37" s="42"/>
      <c r="H37" s="42"/>
      <c r="J37" s="60" t="s">
        <v>36</v>
      </c>
      <c r="K37" s="54">
        <f>15*F39</f>
        <v>68386.499999999985</v>
      </c>
    </row>
    <row r="38" spans="1:12" x14ac:dyDescent="0.55000000000000004">
      <c r="A38" s="39"/>
      <c r="B38" s="40" t="s">
        <v>28</v>
      </c>
      <c r="C38" s="41">
        <v>162.05000000000001</v>
      </c>
      <c r="D38" s="41">
        <v>155.4</v>
      </c>
      <c r="E38" s="41">
        <v>112.00000000000001</v>
      </c>
      <c r="F38" s="41">
        <f t="shared" si="0"/>
        <v>429.45000000000005</v>
      </c>
      <c r="J38" s="60" t="s">
        <v>37</v>
      </c>
      <c r="K38" s="61">
        <f>+F39*20</f>
        <v>91181.999999999985</v>
      </c>
      <c r="L38" s="54">
        <f>+K38+K37</f>
        <v>159568.49999999997</v>
      </c>
    </row>
    <row r="39" spans="1:12" x14ac:dyDescent="0.55000000000000004">
      <c r="A39" s="39"/>
      <c r="B39" s="44" t="s">
        <v>18</v>
      </c>
      <c r="C39" s="45">
        <f>SUM(C34:C38)</f>
        <v>1810.8999999999999</v>
      </c>
      <c r="D39" s="45">
        <f>SUM(D34:D38)</f>
        <v>1532.3000000000002</v>
      </c>
      <c r="E39" s="45">
        <f>SUM(E34:E38)</f>
        <v>1215.9000000000001</v>
      </c>
      <c r="F39" s="45">
        <f>SUM(F34:F38)</f>
        <v>4559.0999999999995</v>
      </c>
      <c r="H39" s="46"/>
      <c r="K39" s="54">
        <f>+K37+K38</f>
        <v>159568.49999999997</v>
      </c>
    </row>
    <row r="40" spans="1:12" x14ac:dyDescent="0.55000000000000004">
      <c r="F40" s="47">
        <f>+'[1]3yr average'!F39*1.05</f>
        <v>4559.1000000000004</v>
      </c>
    </row>
    <row r="41" spans="1:12" x14ac:dyDescent="0.55000000000000004">
      <c r="A41" s="33" t="s">
        <v>29</v>
      </c>
      <c r="C41" s="48"/>
      <c r="D41" s="24"/>
      <c r="E41" s="24"/>
      <c r="F41" s="49">
        <f>F39-F40</f>
        <v>0</v>
      </c>
    </row>
    <row r="42" spans="1:12" x14ac:dyDescent="0.55000000000000004">
      <c r="A42" s="33"/>
      <c r="B42" s="34"/>
      <c r="C42" s="3"/>
      <c r="D42" s="24"/>
      <c r="E42" s="24"/>
      <c r="F42" s="24"/>
    </row>
    <row r="43" spans="1:12" x14ac:dyDescent="0.55000000000000004">
      <c r="A43" s="3"/>
      <c r="B43" s="37" t="s">
        <v>20</v>
      </c>
      <c r="C43" s="38" t="s">
        <v>21</v>
      </c>
      <c r="D43" s="38" t="s">
        <v>22</v>
      </c>
      <c r="E43" s="38" t="s">
        <v>23</v>
      </c>
    </row>
    <row r="44" spans="1:12" x14ac:dyDescent="0.55000000000000004">
      <c r="A44" s="39"/>
      <c r="B44" s="40" t="s">
        <v>24</v>
      </c>
      <c r="C44" s="50">
        <f>(C53+C54)/C34</f>
        <v>12.979984453944812</v>
      </c>
      <c r="D44" s="50">
        <f t="shared" ref="D44:E44" si="1">(D53+D54)/D34</f>
        <v>13.121212121212121</v>
      </c>
      <c r="E44" s="50">
        <f t="shared" si="1"/>
        <v>5.6399747793190418</v>
      </c>
    </row>
    <row r="45" spans="1:12" x14ac:dyDescent="0.55000000000000004">
      <c r="A45" s="39"/>
      <c r="B45" s="40" t="s">
        <v>25</v>
      </c>
      <c r="C45" s="50">
        <f>C55/C35</f>
        <v>11.970532319391634</v>
      </c>
      <c r="D45" s="50">
        <f t="shared" ref="D45:E48" si="2">D55/D35</f>
        <v>11.681585677749359</v>
      </c>
      <c r="E45" s="50">
        <f t="shared" si="2"/>
        <v>5.2351351351351356</v>
      </c>
    </row>
    <row r="46" spans="1:12" x14ac:dyDescent="0.55000000000000004">
      <c r="A46" s="39"/>
      <c r="B46" s="40" t="s">
        <v>26</v>
      </c>
      <c r="C46" s="50">
        <f>C56/C36</f>
        <v>11.582079343365253</v>
      </c>
      <c r="D46" s="50">
        <f t="shared" si="2"/>
        <v>11.236476043276664</v>
      </c>
      <c r="E46" s="50">
        <f t="shared" si="2"/>
        <v>5.9084249084249079</v>
      </c>
    </row>
    <row r="47" spans="1:12" x14ac:dyDescent="0.55000000000000004">
      <c r="A47" s="39"/>
      <c r="B47" s="40" t="s">
        <v>27</v>
      </c>
      <c r="C47" s="50">
        <f>C57/C37</f>
        <v>9.6535211267605643</v>
      </c>
      <c r="D47" s="50">
        <f t="shared" si="2"/>
        <v>9.415902140672781</v>
      </c>
      <c r="E47" s="50">
        <f t="shared" si="2"/>
        <v>5.5106382978723403</v>
      </c>
      <c r="F47" s="51"/>
      <c r="G47" s="51"/>
      <c r="H47" s="51"/>
    </row>
    <row r="48" spans="1:12" x14ac:dyDescent="0.55000000000000004">
      <c r="A48" s="39"/>
      <c r="B48" s="40" t="s">
        <v>28</v>
      </c>
      <c r="C48" s="50">
        <f>C58/C38</f>
        <v>10.693304535637148</v>
      </c>
      <c r="D48" s="50">
        <f t="shared" si="2"/>
        <v>10.666666666666668</v>
      </c>
      <c r="E48" s="50">
        <f t="shared" si="2"/>
        <v>5.5843749999999988</v>
      </c>
    </row>
    <row r="49" spans="1:8" x14ac:dyDescent="0.55000000000000004">
      <c r="A49" s="39"/>
      <c r="B49" s="44" t="s">
        <v>30</v>
      </c>
      <c r="C49" s="52">
        <f>SUM(C44:C48)/5</f>
        <v>11.375884355819881</v>
      </c>
      <c r="D49" s="52">
        <f>SUM(D44:D48)/5</f>
        <v>11.22436852991552</v>
      </c>
      <c r="E49" s="52">
        <f>SUM(E44:E48)/5</f>
        <v>5.575709624150285</v>
      </c>
    </row>
    <row r="51" spans="1:8" x14ac:dyDescent="0.55000000000000004">
      <c r="A51" s="33" t="s">
        <v>31</v>
      </c>
    </row>
    <row r="52" spans="1:8" x14ac:dyDescent="0.55000000000000004">
      <c r="B52" s="37" t="s">
        <v>20</v>
      </c>
      <c r="C52" s="38" t="s">
        <v>21</v>
      </c>
      <c r="D52" s="38" t="s">
        <v>22</v>
      </c>
      <c r="E52" s="38" t="s">
        <v>23</v>
      </c>
      <c r="F52" s="38" t="s">
        <v>18</v>
      </c>
    </row>
    <row r="53" spans="1:8" x14ac:dyDescent="0.55000000000000004">
      <c r="B53" s="40" t="s">
        <v>24</v>
      </c>
      <c r="C53" s="53">
        <v>10098.725</v>
      </c>
      <c r="D53" s="53">
        <v>8550.85</v>
      </c>
      <c r="E53" s="53">
        <v>2737.7</v>
      </c>
      <c r="F53" s="41">
        <f>SUM(C53:E53)</f>
        <v>21387.275000000001</v>
      </c>
    </row>
    <row r="54" spans="1:8" x14ac:dyDescent="0.55000000000000004">
      <c r="B54" s="40" t="s">
        <v>32</v>
      </c>
      <c r="C54" s="53">
        <v>1590.4</v>
      </c>
      <c r="D54" s="53">
        <v>1451.45</v>
      </c>
      <c r="E54" s="53">
        <v>393.05</v>
      </c>
      <c r="F54" s="41">
        <f>SUM(C54:E54)</f>
        <v>3434.9000000000005</v>
      </c>
    </row>
    <row r="55" spans="1:8" x14ac:dyDescent="0.55000000000000004">
      <c r="B55" s="40" t="s">
        <v>25</v>
      </c>
      <c r="C55" s="53">
        <v>4407.55</v>
      </c>
      <c r="D55" s="53">
        <v>3197.25</v>
      </c>
      <c r="E55" s="53">
        <v>1355.9</v>
      </c>
      <c r="F55" s="41">
        <f>SUM(C55:E55)</f>
        <v>8960.7000000000007</v>
      </c>
    </row>
    <row r="56" spans="1:8" x14ac:dyDescent="0.55000000000000004">
      <c r="B56" s="40" t="s">
        <v>26</v>
      </c>
      <c r="C56" s="53">
        <v>2963.2750000000001</v>
      </c>
      <c r="D56" s="53">
        <v>2544.5000000000005</v>
      </c>
      <c r="E56" s="53">
        <v>1129.0999999999999</v>
      </c>
      <c r="F56" s="41">
        <f t="shared" ref="F56:F58" si="3">SUM(C56:E56)</f>
        <v>6636.875</v>
      </c>
    </row>
    <row r="57" spans="1:8" x14ac:dyDescent="0.55000000000000004">
      <c r="B57" s="40" t="s">
        <v>27</v>
      </c>
      <c r="C57" s="53">
        <v>1199.45</v>
      </c>
      <c r="D57" s="53">
        <v>1077.6499999999999</v>
      </c>
      <c r="E57" s="53">
        <v>543.9</v>
      </c>
      <c r="F57" s="41">
        <f t="shared" si="3"/>
        <v>2821</v>
      </c>
    </row>
    <row r="58" spans="1:8" x14ac:dyDescent="0.55000000000000004">
      <c r="B58" s="40" t="s">
        <v>28</v>
      </c>
      <c r="C58" s="53">
        <v>1732.85</v>
      </c>
      <c r="D58" s="53">
        <v>1657.6000000000001</v>
      </c>
      <c r="E58" s="53">
        <v>625.44999999999993</v>
      </c>
      <c r="F58" s="41">
        <f t="shared" si="3"/>
        <v>4015.8999999999996</v>
      </c>
    </row>
    <row r="59" spans="1:8" x14ac:dyDescent="0.55000000000000004">
      <c r="B59" s="44" t="s">
        <v>18</v>
      </c>
      <c r="C59" s="45">
        <f>SUM(C53:C58)</f>
        <v>21992.25</v>
      </c>
      <c r="D59" s="45">
        <f t="shared" ref="D59:F59" si="4">SUM(D53:D58)</f>
        <v>18479.3</v>
      </c>
      <c r="E59" s="45">
        <f t="shared" si="4"/>
        <v>6785.0999999999995</v>
      </c>
      <c r="F59" s="45">
        <f t="shared" si="4"/>
        <v>47256.65</v>
      </c>
      <c r="G59" s="54"/>
    </row>
    <row r="60" spans="1:8" x14ac:dyDescent="0.55000000000000004">
      <c r="F60" s="47">
        <f>+'[1]3yr average'!F59*1.05</f>
        <v>47256.649999999994</v>
      </c>
    </row>
    <row r="61" spans="1:8" x14ac:dyDescent="0.55000000000000004">
      <c r="A61" s="33" t="s">
        <v>33</v>
      </c>
      <c r="F61" s="47">
        <f>F59-F60</f>
        <v>0</v>
      </c>
    </row>
    <row r="62" spans="1:8" x14ac:dyDescent="0.55000000000000004">
      <c r="B62" s="55"/>
    </row>
    <row r="63" spans="1:8" x14ac:dyDescent="0.55000000000000004">
      <c r="B63" s="40" t="s">
        <v>24</v>
      </c>
      <c r="C63" s="41">
        <f>+C53*145</f>
        <v>1464315.125</v>
      </c>
      <c r="D63" s="41">
        <f t="shared" ref="D63:E63" si="5">+D53*145</f>
        <v>1239873.25</v>
      </c>
      <c r="E63" s="41">
        <f t="shared" si="5"/>
        <v>396966.5</v>
      </c>
      <c r="F63" s="41">
        <f>SUM(C63:E63)</f>
        <v>3101154.875</v>
      </c>
    </row>
    <row r="64" spans="1:8" x14ac:dyDescent="0.55000000000000004">
      <c r="B64" s="40" t="s">
        <v>32</v>
      </c>
      <c r="C64" s="41">
        <f>+C54*165</f>
        <v>262416</v>
      </c>
      <c r="D64" s="41">
        <f t="shared" ref="D64:E64" si="6">+D54*165</f>
        <v>239489.25</v>
      </c>
      <c r="E64" s="41">
        <f t="shared" si="6"/>
        <v>64853.25</v>
      </c>
      <c r="F64" s="41">
        <f>SUM(C64:E64)</f>
        <v>566758.5</v>
      </c>
      <c r="G64" s="47"/>
      <c r="H64" s="47"/>
    </row>
    <row r="65" spans="1:8" x14ac:dyDescent="0.55000000000000004">
      <c r="B65" s="40" t="s">
        <v>25</v>
      </c>
      <c r="C65" s="41">
        <f>+C55*145</f>
        <v>639094.75</v>
      </c>
      <c r="D65" s="41">
        <f t="shared" ref="D65:E65" si="7">+D55*145</f>
        <v>463601.25</v>
      </c>
      <c r="E65" s="41">
        <f t="shared" si="7"/>
        <v>196605.5</v>
      </c>
      <c r="F65" s="41">
        <f t="shared" ref="F65:F68" si="8">SUM(C65:E65)</f>
        <v>1299301.5</v>
      </c>
    </row>
    <row r="66" spans="1:8" x14ac:dyDescent="0.55000000000000004">
      <c r="B66" s="40" t="s">
        <v>26</v>
      </c>
      <c r="C66" s="41">
        <f t="shared" ref="C66:E68" si="9">+C56*145</f>
        <v>429674.875</v>
      </c>
      <c r="D66" s="41">
        <f t="shared" si="9"/>
        <v>368952.50000000006</v>
      </c>
      <c r="E66" s="41">
        <f t="shared" si="9"/>
        <v>163719.5</v>
      </c>
      <c r="F66" s="41">
        <f t="shared" si="8"/>
        <v>962346.875</v>
      </c>
    </row>
    <row r="67" spans="1:8" x14ac:dyDescent="0.55000000000000004">
      <c r="B67" s="40" t="s">
        <v>27</v>
      </c>
      <c r="C67" s="41">
        <f t="shared" si="9"/>
        <v>173920.25</v>
      </c>
      <c r="D67" s="41">
        <f t="shared" si="9"/>
        <v>156259.24999999997</v>
      </c>
      <c r="E67" s="41">
        <f t="shared" si="9"/>
        <v>78865.5</v>
      </c>
      <c r="F67" s="41">
        <f t="shared" si="8"/>
        <v>409045</v>
      </c>
    </row>
    <row r="68" spans="1:8" x14ac:dyDescent="0.55000000000000004">
      <c r="B68" s="40" t="s">
        <v>28</v>
      </c>
      <c r="C68" s="41">
        <f t="shared" si="9"/>
        <v>251263.25</v>
      </c>
      <c r="D68" s="41">
        <f t="shared" si="9"/>
        <v>240352.00000000003</v>
      </c>
      <c r="E68" s="41">
        <f t="shared" si="9"/>
        <v>90690.249999999985</v>
      </c>
      <c r="F68" s="41">
        <f t="shared" si="8"/>
        <v>582305.5</v>
      </c>
    </row>
    <row r="69" spans="1:8" x14ac:dyDescent="0.55000000000000004">
      <c r="B69" s="44" t="s">
        <v>18</v>
      </c>
      <c r="C69" s="45">
        <f>SUM(C63:C68)</f>
        <v>3220684.25</v>
      </c>
      <c r="D69" s="45">
        <f t="shared" ref="D69:F69" si="10">SUM(D63:D68)</f>
        <v>2708527.5</v>
      </c>
      <c r="E69" s="45">
        <f t="shared" si="10"/>
        <v>991700.5</v>
      </c>
      <c r="F69" s="45">
        <f t="shared" si="10"/>
        <v>6920912.25</v>
      </c>
      <c r="G69" s="47"/>
    </row>
    <row r="71" spans="1:8" x14ac:dyDescent="0.55000000000000004">
      <c r="B71" s="55" t="s">
        <v>34</v>
      </c>
    </row>
    <row r="72" spans="1:8" x14ac:dyDescent="0.55000000000000004">
      <c r="B72" s="40" t="s">
        <v>24</v>
      </c>
      <c r="C72" s="41">
        <f>+(C63+C64)*0.925</f>
        <v>1597226.2906250001</v>
      </c>
      <c r="D72" s="41">
        <f>+(D63+D64)*0.925</f>
        <v>1368410.3125</v>
      </c>
      <c r="E72" s="41">
        <f>+(E63+E64)*0.925</f>
        <v>427183.26875000005</v>
      </c>
      <c r="F72" s="41">
        <f>SUM(C72:E72)</f>
        <v>3392819.8718750002</v>
      </c>
    </row>
    <row r="73" spans="1:8" x14ac:dyDescent="0.55000000000000004">
      <c r="B73" s="40" t="s">
        <v>25</v>
      </c>
      <c r="C73" s="41">
        <f t="shared" ref="C73:E76" si="11">+C65*0.925</f>
        <v>591162.64375000005</v>
      </c>
      <c r="D73" s="41">
        <f t="shared" si="11"/>
        <v>428831.15625</v>
      </c>
      <c r="E73" s="41">
        <f t="shared" si="11"/>
        <v>181860.08750000002</v>
      </c>
      <c r="F73" s="41">
        <f t="shared" ref="F73:F76" si="12">SUM(C73:E73)</f>
        <v>1201853.8875000002</v>
      </c>
    </row>
    <row r="74" spans="1:8" x14ac:dyDescent="0.55000000000000004">
      <c r="B74" s="40" t="s">
        <v>26</v>
      </c>
      <c r="C74" s="41">
        <f t="shared" si="11"/>
        <v>397449.25937500002</v>
      </c>
      <c r="D74" s="41">
        <f t="shared" si="11"/>
        <v>341281.06250000006</v>
      </c>
      <c r="E74" s="41">
        <f t="shared" si="11"/>
        <v>151440.53750000001</v>
      </c>
      <c r="F74" s="41">
        <f t="shared" si="12"/>
        <v>890170.85937500012</v>
      </c>
    </row>
    <row r="75" spans="1:8" x14ac:dyDescent="0.55000000000000004">
      <c r="B75" s="40" t="s">
        <v>27</v>
      </c>
      <c r="C75" s="41">
        <f t="shared" si="11"/>
        <v>160876.23125000001</v>
      </c>
      <c r="D75" s="41">
        <f t="shared" si="11"/>
        <v>144539.80624999999</v>
      </c>
      <c r="E75" s="41">
        <f t="shared" si="11"/>
        <v>72950.587500000009</v>
      </c>
      <c r="F75" s="41">
        <f t="shared" si="12"/>
        <v>378366.625</v>
      </c>
    </row>
    <row r="76" spans="1:8" x14ac:dyDescent="0.55000000000000004">
      <c r="B76" s="40" t="s">
        <v>28</v>
      </c>
      <c r="C76" s="41">
        <f t="shared" si="11"/>
        <v>232418.50625000001</v>
      </c>
      <c r="D76" s="41">
        <f t="shared" si="11"/>
        <v>222325.60000000003</v>
      </c>
      <c r="E76" s="41">
        <f t="shared" si="11"/>
        <v>83888.481249999997</v>
      </c>
      <c r="F76" s="41">
        <f t="shared" si="12"/>
        <v>538632.58750000002</v>
      </c>
    </row>
    <row r="77" spans="1:8" ht="14.7" thickBot="1" x14ac:dyDescent="0.6">
      <c r="B77" s="44" t="s">
        <v>18</v>
      </c>
      <c r="C77" s="56">
        <f>SUM(C72:C76)</f>
        <v>2979132.9312500004</v>
      </c>
      <c r="D77" s="56">
        <f t="shared" ref="D77:F77" si="13">SUM(D72:D76)</f>
        <v>2505387.9375</v>
      </c>
      <c r="E77" s="56">
        <f t="shared" si="13"/>
        <v>917322.96250000002</v>
      </c>
      <c r="F77" s="56">
        <f t="shared" si="13"/>
        <v>6401843.8312500007</v>
      </c>
      <c r="G77" s="47"/>
      <c r="H77" s="47"/>
    </row>
    <row r="78" spans="1:8" x14ac:dyDescent="0.55000000000000004">
      <c r="B78" s="44"/>
      <c r="C78" s="57"/>
      <c r="D78" s="57"/>
      <c r="E78" s="57"/>
      <c r="F78" s="57"/>
    </row>
    <row r="79" spans="1:8" x14ac:dyDescent="0.55000000000000004">
      <c r="A79" s="58"/>
      <c r="B79" s="58"/>
      <c r="C79" s="58"/>
      <c r="D79" s="58"/>
      <c r="E79" s="58"/>
      <c r="F79" s="58"/>
      <c r="G79" s="58"/>
      <c r="H79" s="59"/>
    </row>
    <row r="80" spans="1:8" x14ac:dyDescent="0.55000000000000004">
      <c r="A80" s="33" t="s">
        <v>35</v>
      </c>
    </row>
    <row r="81" spans="1:6" x14ac:dyDescent="0.55000000000000004">
      <c r="B81" s="40" t="s">
        <v>24</v>
      </c>
      <c r="C81" s="41">
        <f t="shared" ref="C81:E85" si="14">+C34*50</f>
        <v>45027.5</v>
      </c>
      <c r="D81" s="41">
        <f t="shared" si="14"/>
        <v>38115</v>
      </c>
      <c r="E81" s="41">
        <f t="shared" si="14"/>
        <v>27755</v>
      </c>
      <c r="F81" s="41">
        <f>SUM(C81:E81)</f>
        <v>110897.5</v>
      </c>
    </row>
    <row r="82" spans="1:6" x14ac:dyDescent="0.55000000000000004">
      <c r="B82" s="40" t="s">
        <v>25</v>
      </c>
      <c r="C82" s="41">
        <f t="shared" si="14"/>
        <v>18410.000000000004</v>
      </c>
      <c r="D82" s="41">
        <f t="shared" si="14"/>
        <v>13685.000000000002</v>
      </c>
      <c r="E82" s="41">
        <f t="shared" si="14"/>
        <v>12950</v>
      </c>
      <c r="F82" s="41">
        <f t="shared" ref="F82:F85" si="15">SUM(C82:E82)</f>
        <v>45045.000000000007</v>
      </c>
    </row>
    <row r="83" spans="1:6" x14ac:dyDescent="0.55000000000000004">
      <c r="B83" s="40" t="s">
        <v>26</v>
      </c>
      <c r="C83" s="41">
        <f t="shared" si="14"/>
        <v>12792.5</v>
      </c>
      <c r="D83" s="41">
        <f t="shared" si="14"/>
        <v>11322.5</v>
      </c>
      <c r="E83" s="41">
        <f t="shared" si="14"/>
        <v>9555</v>
      </c>
      <c r="F83" s="41">
        <f t="shared" si="15"/>
        <v>33670</v>
      </c>
    </row>
    <row r="84" spans="1:6" x14ac:dyDescent="0.55000000000000004">
      <c r="B84" s="40" t="s">
        <v>27</v>
      </c>
      <c r="C84" s="41">
        <f t="shared" si="14"/>
        <v>6212.5</v>
      </c>
      <c r="D84" s="41">
        <f t="shared" si="14"/>
        <v>5722.5</v>
      </c>
      <c r="E84" s="41">
        <f t="shared" si="14"/>
        <v>4935</v>
      </c>
      <c r="F84" s="41">
        <f t="shared" si="15"/>
        <v>16870</v>
      </c>
    </row>
    <row r="85" spans="1:6" x14ac:dyDescent="0.55000000000000004">
      <c r="B85" s="40" t="s">
        <v>28</v>
      </c>
      <c r="C85" s="41">
        <f t="shared" si="14"/>
        <v>8102.5000000000009</v>
      </c>
      <c r="D85" s="41">
        <f t="shared" si="14"/>
        <v>7770</v>
      </c>
      <c r="E85" s="41">
        <f t="shared" si="14"/>
        <v>5600.0000000000009</v>
      </c>
      <c r="F85" s="41">
        <f t="shared" si="15"/>
        <v>21472.5</v>
      </c>
    </row>
    <row r="86" spans="1:6" ht="14.7" thickBot="1" x14ac:dyDescent="0.6">
      <c r="B86" s="44" t="s">
        <v>18</v>
      </c>
      <c r="C86" s="56">
        <f>SUM(C81:C85)</f>
        <v>90545</v>
      </c>
      <c r="D86" s="56">
        <f t="shared" ref="D86:F86" si="16">SUM(D81:D85)</f>
        <v>76615</v>
      </c>
      <c r="E86" s="56">
        <f t="shared" si="16"/>
        <v>60795</v>
      </c>
      <c r="F86" s="56">
        <f t="shared" si="16"/>
        <v>227955</v>
      </c>
    </row>
    <row r="89" spans="1:6" x14ac:dyDescent="0.55000000000000004">
      <c r="A89" s="110" t="s">
        <v>59</v>
      </c>
      <c r="B89" s="111"/>
      <c r="C89" s="112" t="s">
        <v>65</v>
      </c>
      <c r="D89" s="112" t="s">
        <v>23</v>
      </c>
      <c r="E89" s="111"/>
      <c r="F89" s="111"/>
    </row>
    <row r="90" spans="1:6" x14ac:dyDescent="0.55000000000000004">
      <c r="A90" s="111"/>
      <c r="B90" s="111" t="s">
        <v>66</v>
      </c>
      <c r="C90" s="113">
        <v>250</v>
      </c>
      <c r="D90" s="111">
        <v>65</v>
      </c>
      <c r="E90" s="114"/>
      <c r="F90" s="111"/>
    </row>
    <row r="91" spans="1:6" x14ac:dyDescent="0.55000000000000004">
      <c r="A91" s="111"/>
      <c r="B91" s="111" t="s">
        <v>67</v>
      </c>
      <c r="C91" s="113">
        <v>90</v>
      </c>
      <c r="D91" s="111">
        <v>30</v>
      </c>
      <c r="E91" s="114"/>
      <c r="F91" s="111"/>
    </row>
    <row r="92" spans="1:6" x14ac:dyDescent="0.55000000000000004">
      <c r="A92" s="3"/>
      <c r="B92" s="115"/>
      <c r="C92" s="3"/>
      <c r="D92" s="3"/>
      <c r="E92" s="3"/>
      <c r="F92" s="3"/>
    </row>
    <row r="93" spans="1:6" x14ac:dyDescent="0.55000000000000004">
      <c r="A93" s="111"/>
      <c r="B93" s="116" t="s">
        <v>68</v>
      </c>
      <c r="C93" s="38" t="s">
        <v>21</v>
      </c>
      <c r="D93" s="38" t="s">
        <v>22</v>
      </c>
      <c r="E93" s="38" t="s">
        <v>23</v>
      </c>
      <c r="F93" s="38" t="s">
        <v>18</v>
      </c>
    </row>
    <row r="94" spans="1:6" x14ac:dyDescent="0.55000000000000004">
      <c r="A94" s="111"/>
      <c r="B94" s="117" t="s">
        <v>66</v>
      </c>
      <c r="C94" s="41">
        <v>1201</v>
      </c>
      <c r="D94" s="41">
        <v>1056</v>
      </c>
      <c r="E94" s="41">
        <v>758</v>
      </c>
      <c r="F94" s="41">
        <f>SUM(C94:E94)</f>
        <v>3015</v>
      </c>
    </row>
    <row r="95" spans="1:6" x14ac:dyDescent="0.55000000000000004">
      <c r="A95" s="111"/>
      <c r="B95" s="40" t="s">
        <v>69</v>
      </c>
      <c r="C95" s="41">
        <v>492</v>
      </c>
      <c r="D95" s="41">
        <v>373</v>
      </c>
      <c r="E95" s="41">
        <v>366</v>
      </c>
      <c r="F95" s="41">
        <f t="shared" ref="F95" si="17">SUM(C95:E95)</f>
        <v>1231</v>
      </c>
    </row>
    <row r="96" spans="1:6" x14ac:dyDescent="0.55000000000000004">
      <c r="A96" s="111"/>
      <c r="B96" s="44" t="s">
        <v>18</v>
      </c>
      <c r="C96" s="45">
        <f>SUM(C94:C95)</f>
        <v>1693</v>
      </c>
      <c r="D96" s="45">
        <f>SUM(D94:D95)</f>
        <v>1429</v>
      </c>
      <c r="E96" s="45">
        <f>SUM(E94:E95)</f>
        <v>1124</v>
      </c>
      <c r="F96" s="45">
        <f>SUM(F94:F95)</f>
        <v>4246</v>
      </c>
    </row>
    <row r="97" spans="1:6" x14ac:dyDescent="0.55000000000000004">
      <c r="A97" s="111"/>
      <c r="B97" s="111"/>
      <c r="C97" s="118"/>
      <c r="D97" s="118"/>
      <c r="E97" s="118"/>
      <c r="F97" s="118"/>
    </row>
    <row r="98" spans="1:6" x14ac:dyDescent="0.55000000000000004">
      <c r="A98" s="111"/>
      <c r="B98" s="116"/>
      <c r="C98" s="38" t="s">
        <v>21</v>
      </c>
      <c r="D98" s="38" t="s">
        <v>22</v>
      </c>
      <c r="E98" s="38" t="s">
        <v>23</v>
      </c>
      <c r="F98" s="38" t="s">
        <v>18</v>
      </c>
    </row>
    <row r="99" spans="1:6" x14ac:dyDescent="0.55000000000000004">
      <c r="A99" s="111"/>
      <c r="B99" s="117" t="s">
        <v>66</v>
      </c>
      <c r="C99" s="53">
        <f>+C94*C90</f>
        <v>300250</v>
      </c>
      <c r="D99" s="53">
        <f>+D94*C90</f>
        <v>264000</v>
      </c>
      <c r="E99" s="41">
        <f>+E94*D90</f>
        <v>49270</v>
      </c>
      <c r="F99" s="41">
        <f>SUM(C99:E99)</f>
        <v>613520</v>
      </c>
    </row>
    <row r="100" spans="1:6" x14ac:dyDescent="0.55000000000000004">
      <c r="A100" s="111"/>
      <c r="B100" s="40" t="s">
        <v>69</v>
      </c>
      <c r="C100" s="53">
        <f>+C91*C95</f>
        <v>44280</v>
      </c>
      <c r="D100" s="53">
        <f>+D95*C91</f>
        <v>33570</v>
      </c>
      <c r="E100" s="41">
        <f>+E95*D91</f>
        <v>10980</v>
      </c>
      <c r="F100" s="41">
        <f t="shared" ref="F100" si="18">SUM(C100:E100)</f>
        <v>88830</v>
      </c>
    </row>
    <row r="101" spans="1:6" x14ac:dyDescent="0.55000000000000004">
      <c r="A101" s="111"/>
      <c r="B101" s="44" t="s">
        <v>18</v>
      </c>
      <c r="C101" s="45">
        <f>SUM(C99:C100)</f>
        <v>344530</v>
      </c>
      <c r="D101" s="45">
        <f>SUM(D99:D100)</f>
        <v>297570</v>
      </c>
      <c r="E101" s="45">
        <f>SUM(E99:E100)</f>
        <v>60250</v>
      </c>
      <c r="F101" s="45">
        <f>SUM(F99:F100)</f>
        <v>702350</v>
      </c>
    </row>
  </sheetData>
  <pageMargins left="0.45" right="0.4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opLeftCell="A49" workbookViewId="0">
      <selection activeCell="B61" sqref="B61"/>
    </sheetView>
  </sheetViews>
  <sheetFormatPr defaultColWidth="9.15625" defaultRowHeight="14.4" x14ac:dyDescent="0.55000000000000004"/>
  <cols>
    <col min="1" max="1" width="9.15625" style="63"/>
    <col min="2" max="2" width="12" style="63" customWidth="1"/>
    <col min="3" max="3" width="9.15625" style="63"/>
    <col min="4" max="4" width="15.26171875" style="63" bestFit="1" customWidth="1"/>
    <col min="5" max="5" width="17.41796875" style="63" customWidth="1"/>
    <col min="6" max="6" width="14.26171875" style="63" bestFit="1" customWidth="1"/>
    <col min="7" max="8" width="11.578125" style="63" bestFit="1" customWidth="1"/>
    <col min="9" max="9" width="14.26171875" style="63" bestFit="1" customWidth="1"/>
    <col min="10" max="10" width="11.3671875" style="63" bestFit="1" customWidth="1"/>
    <col min="11" max="11" width="10.7890625" style="63" bestFit="1" customWidth="1"/>
    <col min="12" max="16384" width="9.15625" style="63"/>
  </cols>
  <sheetData>
    <row r="1" spans="1:9" ht="14.7" thickBot="1" x14ac:dyDescent="0.6"/>
    <row r="2" spans="1:9" ht="16.2" x14ac:dyDescent="0.85">
      <c r="A2" s="64" t="s">
        <v>39</v>
      </c>
      <c r="B2" s="65"/>
      <c r="C2" s="65"/>
      <c r="D2" s="65"/>
      <c r="E2" s="66"/>
      <c r="F2" s="65"/>
      <c r="G2" s="65"/>
      <c r="H2" s="65"/>
      <c r="I2" s="67"/>
    </row>
    <row r="3" spans="1:9" ht="17.25" customHeight="1" x14ac:dyDescent="0.55000000000000004">
      <c r="A3" s="68"/>
      <c r="B3" s="69"/>
      <c r="C3" s="69"/>
      <c r="D3" s="127" t="s">
        <v>40</v>
      </c>
      <c r="E3" s="127"/>
      <c r="F3" s="127"/>
      <c r="G3" s="127" t="s">
        <v>41</v>
      </c>
      <c r="H3" s="127"/>
      <c r="I3" s="128" t="s">
        <v>18</v>
      </c>
    </row>
    <row r="4" spans="1:9" ht="28.8" x14ac:dyDescent="0.55000000000000004">
      <c r="A4" s="68"/>
      <c r="B4" s="69"/>
      <c r="C4" s="69"/>
      <c r="D4" s="69" t="s">
        <v>42</v>
      </c>
      <c r="E4" s="70" t="s">
        <v>43</v>
      </c>
      <c r="F4" s="69" t="s">
        <v>18</v>
      </c>
      <c r="G4" s="70" t="s">
        <v>44</v>
      </c>
      <c r="H4" s="69"/>
      <c r="I4" s="128"/>
    </row>
    <row r="5" spans="1:9" x14ac:dyDescent="0.55000000000000004">
      <c r="A5" s="68"/>
      <c r="B5" s="69"/>
      <c r="C5" s="69"/>
      <c r="D5" s="69"/>
      <c r="E5" s="69"/>
      <c r="F5" s="69"/>
      <c r="G5" s="71"/>
      <c r="H5" s="71"/>
      <c r="I5" s="72"/>
    </row>
    <row r="6" spans="1:9" x14ac:dyDescent="0.55000000000000004">
      <c r="A6" s="68" t="s">
        <v>45</v>
      </c>
      <c r="B6" s="69"/>
      <c r="C6" s="73">
        <f t="shared" ref="C6:C14" si="0">+D6/$D$15</f>
        <v>5.6853493088248143E-2</v>
      </c>
      <c r="D6" s="74">
        <f>+'[2]2027'!$D$70</f>
        <v>651832.20237510861</v>
      </c>
      <c r="E6" s="75"/>
      <c r="F6" s="75">
        <f t="shared" ref="F6:F14" si="1">+D6+E6</f>
        <v>651832.20237510861</v>
      </c>
      <c r="G6" s="76"/>
      <c r="H6" s="76">
        <f>+'[2]2027'!$D$77</f>
        <v>51168.143779423335</v>
      </c>
      <c r="I6" s="77">
        <f t="shared" ref="I6:I14" si="2">+F6+G6+H6</f>
        <v>703000.34615453193</v>
      </c>
    </row>
    <row r="7" spans="1:9" x14ac:dyDescent="0.55000000000000004">
      <c r="A7" s="68" t="s">
        <v>46</v>
      </c>
      <c r="B7" s="69"/>
      <c r="C7" s="73">
        <f t="shared" si="0"/>
        <v>0.25987448796892321</v>
      </c>
      <c r="D7" s="74">
        <f>+'[2]2027'!$K$70</f>
        <v>2979492.5629451158</v>
      </c>
      <c r="E7" s="75"/>
      <c r="F7" s="75">
        <f t="shared" si="1"/>
        <v>2979492.5629451158</v>
      </c>
      <c r="G7" s="76"/>
      <c r="H7" s="76">
        <f>+'[2]2027'!$K$77</f>
        <v>233887.03917203093</v>
      </c>
      <c r="I7" s="77">
        <f t="shared" si="2"/>
        <v>3213379.6021171468</v>
      </c>
    </row>
    <row r="8" spans="1:9" x14ac:dyDescent="0.55000000000000004">
      <c r="A8" s="68" t="s">
        <v>47</v>
      </c>
      <c r="B8" s="69"/>
      <c r="C8" s="73">
        <f t="shared" si="0"/>
        <v>0.10513238848059672</v>
      </c>
      <c r="D8" s="74">
        <f>+'[2]2027'!$M$70</f>
        <v>1205355.6008932022</v>
      </c>
      <c r="E8" s="76">
        <f>+'[2]2027'!$M$75</f>
        <v>153265</v>
      </c>
      <c r="F8" s="75">
        <f t="shared" si="1"/>
        <v>1358620.6008932022</v>
      </c>
      <c r="G8" s="76">
        <v>100000</v>
      </c>
      <c r="H8" s="76">
        <f>+'[2]2027'!$M$77</f>
        <v>94619.149632537068</v>
      </c>
      <c r="I8" s="77">
        <f t="shared" si="2"/>
        <v>1553239.7505257393</v>
      </c>
    </row>
    <row r="9" spans="1:9" x14ac:dyDescent="0.55000000000000004">
      <c r="A9" s="68" t="s">
        <v>48</v>
      </c>
      <c r="B9" s="69"/>
      <c r="C9" s="73">
        <f t="shared" si="0"/>
        <v>4.644211391131426E-2</v>
      </c>
      <c r="D9" s="74">
        <f>+'[2]2027'!$J$70</f>
        <v>532464.47578477976</v>
      </c>
      <c r="E9" s="75"/>
      <c r="F9" s="75">
        <f t="shared" si="1"/>
        <v>532464.47578477976</v>
      </c>
      <c r="G9" s="76"/>
      <c r="H9" s="76">
        <f>+'[2]2027'!$J$77</f>
        <v>41797.902520182841</v>
      </c>
      <c r="I9" s="77">
        <f t="shared" si="2"/>
        <v>574262.37830496265</v>
      </c>
    </row>
    <row r="10" spans="1:9" x14ac:dyDescent="0.55000000000000004">
      <c r="A10" s="68" t="s">
        <v>49</v>
      </c>
      <c r="B10" s="69"/>
      <c r="C10" s="73">
        <f t="shared" si="0"/>
        <v>0.16074255174202612</v>
      </c>
      <c r="D10" s="74">
        <f>+'[2]2027'!$L$70</f>
        <v>1842932.8758175743</v>
      </c>
      <c r="E10" s="75"/>
      <c r="F10" s="75">
        <f t="shared" si="1"/>
        <v>1842932.8758175743</v>
      </c>
      <c r="G10" s="76"/>
      <c r="H10" s="76">
        <f>+'[2]2027'!$L$77</f>
        <v>144668.29656782353</v>
      </c>
      <c r="I10" s="77">
        <f t="shared" si="2"/>
        <v>1987601.1723853978</v>
      </c>
    </row>
    <row r="11" spans="1:9" x14ac:dyDescent="0.55000000000000004">
      <c r="A11" s="68" t="s">
        <v>25</v>
      </c>
      <c r="B11" s="69"/>
      <c r="C11" s="73">
        <f t="shared" si="0"/>
        <v>0.14393029944330765</v>
      </c>
      <c r="D11" s="74">
        <f>+'[2]2027'!$F$70</f>
        <v>1650178.3615830769</v>
      </c>
      <c r="E11" s="75"/>
      <c r="F11" s="75">
        <f t="shared" si="1"/>
        <v>1650178.3615830769</v>
      </c>
      <c r="G11" s="76"/>
      <c r="H11" s="76">
        <f>+'[2]2027'!$F$77</f>
        <v>129537.26949897691</v>
      </c>
      <c r="I11" s="77">
        <f t="shared" si="2"/>
        <v>1779715.6310820538</v>
      </c>
    </row>
    <row r="12" spans="1:9" x14ac:dyDescent="0.55000000000000004">
      <c r="A12" s="68" t="s">
        <v>26</v>
      </c>
      <c r="B12" s="69"/>
      <c r="C12" s="73">
        <f t="shared" si="0"/>
        <v>0.10490582180704738</v>
      </c>
      <c r="D12" s="74">
        <f>+'[2]2027'!$G$70</f>
        <v>1202757.9864673791</v>
      </c>
      <c r="E12" s="75"/>
      <c r="F12" s="75">
        <f t="shared" si="1"/>
        <v>1202757.9864673791</v>
      </c>
      <c r="G12" s="76"/>
      <c r="H12" s="76">
        <f>+'[2]2027'!$G$77</f>
        <v>94415.239626342664</v>
      </c>
      <c r="I12" s="77">
        <f t="shared" si="2"/>
        <v>1297173.2260937218</v>
      </c>
    </row>
    <row r="13" spans="1:9" x14ac:dyDescent="0.55000000000000004">
      <c r="A13" s="68" t="s">
        <v>50</v>
      </c>
      <c r="B13" s="69"/>
      <c r="C13" s="73">
        <f t="shared" si="0"/>
        <v>6.5232351732463681E-2</v>
      </c>
      <c r="D13" s="74">
        <f>+'[2]2027'!$H$70</f>
        <v>747896.83423460065</v>
      </c>
      <c r="E13" s="75"/>
      <c r="F13" s="75">
        <f t="shared" si="1"/>
        <v>747896.83423460065</v>
      </c>
      <c r="G13" s="76"/>
      <c r="H13" s="76">
        <f>+'[2]2027'!$H$77</f>
        <v>58709.116559217327</v>
      </c>
      <c r="I13" s="77">
        <f t="shared" si="2"/>
        <v>806605.95079381799</v>
      </c>
    </row>
    <row r="14" spans="1:9" x14ac:dyDescent="0.55000000000000004">
      <c r="A14" s="68" t="s">
        <v>28</v>
      </c>
      <c r="B14" s="69"/>
      <c r="C14" s="78">
        <f t="shared" si="0"/>
        <v>5.6886491826072964E-2</v>
      </c>
      <c r="D14" s="79">
        <f>+'[2]2027'!$I$70</f>
        <v>652210.53691153834</v>
      </c>
      <c r="E14" s="80"/>
      <c r="F14" s="80">
        <f t="shared" si="1"/>
        <v>652210.53691153834</v>
      </c>
      <c r="G14" s="81"/>
      <c r="H14" s="81">
        <f>+'[2]2027'!$I$77</f>
        <v>51197.842643465672</v>
      </c>
      <c r="I14" s="82">
        <f t="shared" si="2"/>
        <v>703408.37955500395</v>
      </c>
    </row>
    <row r="15" spans="1:9" x14ac:dyDescent="0.55000000000000004">
      <c r="A15" s="68" t="s">
        <v>18</v>
      </c>
      <c r="B15" s="69"/>
      <c r="C15" s="83">
        <f t="shared" ref="C15:I15" si="3">SUM(C6:C14)</f>
        <v>1</v>
      </c>
      <c r="D15" s="84">
        <f t="shared" si="3"/>
        <v>11465121.437012374</v>
      </c>
      <c r="E15" s="84">
        <f t="shared" si="3"/>
        <v>153265</v>
      </c>
      <c r="F15" s="84">
        <f t="shared" si="3"/>
        <v>11618386.437012374</v>
      </c>
      <c r="G15" s="84">
        <f t="shared" si="3"/>
        <v>100000</v>
      </c>
      <c r="H15" s="84">
        <f t="shared" si="3"/>
        <v>900000.00000000023</v>
      </c>
      <c r="I15" s="85">
        <f t="shared" si="3"/>
        <v>12618386.437012376</v>
      </c>
    </row>
    <row r="16" spans="1:9" ht="14.7" thickBot="1" x14ac:dyDescent="0.6">
      <c r="A16" s="86"/>
      <c r="B16" s="87"/>
      <c r="C16" s="87"/>
      <c r="D16" s="87"/>
      <c r="E16" s="87"/>
      <c r="F16" s="87"/>
      <c r="G16" s="87"/>
      <c r="H16" s="87"/>
      <c r="I16" s="88"/>
    </row>
    <row r="18" spans="1:11" ht="14.7" thickBot="1" x14ac:dyDescent="0.6"/>
    <row r="19" spans="1:11" x14ac:dyDescent="0.55000000000000004">
      <c r="A19" s="64" t="s">
        <v>51</v>
      </c>
      <c r="B19" s="65"/>
      <c r="C19" s="65"/>
      <c r="D19" s="65"/>
      <c r="E19" s="65"/>
      <c r="F19" s="65"/>
      <c r="G19" s="65"/>
      <c r="H19" s="65"/>
      <c r="I19" s="67"/>
    </row>
    <row r="20" spans="1:11" x14ac:dyDescent="0.55000000000000004">
      <c r="A20" s="68" t="s">
        <v>52</v>
      </c>
      <c r="B20" s="69"/>
      <c r="C20" s="69"/>
      <c r="D20" s="69"/>
      <c r="E20" s="71">
        <f>+'[3]Projected Revenue'!J28</f>
        <v>12099372.275</v>
      </c>
      <c r="F20" s="69"/>
      <c r="G20" s="69"/>
      <c r="H20" s="69"/>
      <c r="I20" s="89"/>
    </row>
    <row r="21" spans="1:11" x14ac:dyDescent="0.55000000000000004">
      <c r="A21" s="124" t="s">
        <v>73</v>
      </c>
      <c r="B21" s="69"/>
      <c r="C21" s="69"/>
      <c r="D21" s="69"/>
      <c r="E21" s="71">
        <f>451725</f>
        <v>451725</v>
      </c>
      <c r="F21" s="69"/>
      <c r="G21" s="69"/>
      <c r="H21" s="69"/>
      <c r="I21" s="89"/>
    </row>
    <row r="22" spans="1:11" x14ac:dyDescent="0.55000000000000004">
      <c r="A22" s="68" t="s">
        <v>53</v>
      </c>
      <c r="B22" s="69"/>
      <c r="C22" s="69"/>
      <c r="D22" s="69"/>
      <c r="E22" s="90">
        <f>-'[3]Projected Revenue'!J39</f>
        <v>-152670</v>
      </c>
      <c r="F22" s="69"/>
      <c r="G22" s="69"/>
      <c r="H22" s="69"/>
      <c r="I22" s="89"/>
    </row>
    <row r="23" spans="1:11" ht="16.2" x14ac:dyDescent="0.85">
      <c r="A23" s="68" t="s">
        <v>54</v>
      </c>
      <c r="B23" s="69"/>
      <c r="C23" s="69"/>
      <c r="D23" s="69"/>
      <c r="E23" s="91">
        <f>-'[3]Projected Revenue'!J17</f>
        <v>-582585</v>
      </c>
      <c r="F23" s="69"/>
      <c r="G23" s="69"/>
      <c r="H23" s="69"/>
      <c r="I23" s="89"/>
    </row>
    <row r="24" spans="1:11" ht="16.2" x14ac:dyDescent="0.85">
      <c r="A24" s="68" t="s">
        <v>55</v>
      </c>
      <c r="B24" s="69"/>
      <c r="C24" s="69"/>
      <c r="D24" s="69"/>
      <c r="E24" s="91">
        <f>E20+E21+E22+E23</f>
        <v>11815842.275</v>
      </c>
      <c r="F24" s="69"/>
      <c r="G24" s="69"/>
      <c r="H24" s="69"/>
      <c r="I24" s="89"/>
    </row>
    <row r="25" spans="1:11" x14ac:dyDescent="0.55000000000000004">
      <c r="A25" s="68"/>
      <c r="B25" s="69"/>
      <c r="C25" s="69"/>
      <c r="D25" s="69"/>
      <c r="E25" s="69"/>
      <c r="F25" s="69"/>
      <c r="G25" s="69"/>
      <c r="H25" s="69"/>
      <c r="I25" s="89"/>
    </row>
    <row r="26" spans="1:11" x14ac:dyDescent="0.55000000000000004">
      <c r="A26" s="68"/>
      <c r="B26" s="69"/>
      <c r="C26" s="69"/>
      <c r="D26" s="69"/>
      <c r="E26" s="69"/>
      <c r="F26" s="69"/>
      <c r="G26" s="69"/>
      <c r="H26" s="69"/>
      <c r="I26" s="89"/>
    </row>
    <row r="27" spans="1:11" x14ac:dyDescent="0.55000000000000004">
      <c r="A27" s="68"/>
      <c r="B27" s="69"/>
      <c r="C27" s="69"/>
      <c r="D27" s="127" t="s">
        <v>56</v>
      </c>
      <c r="E27" s="127"/>
      <c r="F27" s="127"/>
      <c r="G27" s="69"/>
      <c r="H27" s="69"/>
      <c r="I27" s="89"/>
      <c r="J27" s="125" t="s">
        <v>71</v>
      </c>
      <c r="K27" s="126"/>
    </row>
    <row r="28" spans="1:11" ht="28.8" x14ac:dyDescent="0.55000000000000004">
      <c r="A28" s="68"/>
      <c r="B28" s="69"/>
      <c r="C28" s="69"/>
      <c r="D28" s="69" t="s">
        <v>57</v>
      </c>
      <c r="E28" s="70" t="s">
        <v>43</v>
      </c>
      <c r="F28" s="63" t="s">
        <v>58</v>
      </c>
      <c r="G28" s="69" t="s">
        <v>18</v>
      </c>
      <c r="H28" s="69" t="s">
        <v>60</v>
      </c>
      <c r="I28" s="89" t="s">
        <v>61</v>
      </c>
      <c r="J28" s="63" t="s">
        <v>59</v>
      </c>
      <c r="K28" s="122" t="s">
        <v>72</v>
      </c>
    </row>
    <row r="29" spans="1:11" x14ac:dyDescent="0.55000000000000004">
      <c r="A29" s="68"/>
      <c r="B29" s="69"/>
      <c r="C29" s="69"/>
      <c r="D29" s="69"/>
      <c r="E29" s="69"/>
      <c r="G29" s="69"/>
      <c r="H29" s="69"/>
      <c r="I29" s="89"/>
    </row>
    <row r="30" spans="1:11" x14ac:dyDescent="0.55000000000000004">
      <c r="A30" s="68" t="s">
        <v>45</v>
      </c>
      <c r="B30" s="69"/>
      <c r="C30" s="73">
        <v>5.6853493088248143E-2</v>
      </c>
      <c r="D30" s="74">
        <f t="shared" ref="D30:D38" si="4">+C30*$E$24</f>
        <v>671771.90711354278</v>
      </c>
      <c r="E30" s="75"/>
      <c r="G30" s="75">
        <f>D30+E30+F30</f>
        <v>671771.90711354278</v>
      </c>
      <c r="H30" s="75">
        <f t="shared" ref="H30:H38" si="5">+I6</f>
        <v>703000.34615453193</v>
      </c>
      <c r="I30" s="92">
        <f>+G30-H30</f>
        <v>-31228.439040989149</v>
      </c>
    </row>
    <row r="31" spans="1:11" x14ac:dyDescent="0.55000000000000004">
      <c r="A31" s="68" t="s">
        <v>46</v>
      </c>
      <c r="B31" s="69"/>
      <c r="C31" s="73">
        <v>0.25987448796892321</v>
      </c>
      <c r="D31" s="74">
        <f t="shared" si="4"/>
        <v>3070635.9611371816</v>
      </c>
      <c r="E31" s="75"/>
      <c r="G31" s="75">
        <f t="shared" ref="G31:G38" si="6">D31+E31+F31</f>
        <v>3070635.9611371816</v>
      </c>
      <c r="H31" s="75">
        <f t="shared" si="5"/>
        <v>3213379.6021171468</v>
      </c>
      <c r="I31" s="92">
        <f t="shared" ref="I31:I38" si="7">+G31-H31</f>
        <v>-142743.64097996522</v>
      </c>
    </row>
    <row r="32" spans="1:11" x14ac:dyDescent="0.55000000000000004">
      <c r="A32" s="68" t="s">
        <v>47</v>
      </c>
      <c r="B32" s="69"/>
      <c r="C32" s="73">
        <v>0.10513238848059672</v>
      </c>
      <c r="D32" s="74">
        <f t="shared" si="4"/>
        <v>1242227.7202807579</v>
      </c>
      <c r="E32" s="76">
        <f>-E22</f>
        <v>152670</v>
      </c>
      <c r="G32" s="75">
        <f t="shared" si="6"/>
        <v>1394897.7202807579</v>
      </c>
      <c r="H32" s="75">
        <f t="shared" si="5"/>
        <v>1553239.7505257393</v>
      </c>
      <c r="I32" s="92">
        <f t="shared" si="7"/>
        <v>-158342.0302449814</v>
      </c>
    </row>
    <row r="33" spans="1:11" x14ac:dyDescent="0.55000000000000004">
      <c r="A33" s="68" t="s">
        <v>48</v>
      </c>
      <c r="B33" s="69"/>
      <c r="C33" s="73">
        <v>4.644211391131426E-2</v>
      </c>
      <c r="D33" s="74">
        <f t="shared" si="4"/>
        <v>548752.69289367262</v>
      </c>
      <c r="E33" s="75"/>
      <c r="F33" s="93">
        <v>130860</v>
      </c>
      <c r="G33" s="75">
        <f t="shared" si="6"/>
        <v>679612.69289367262</v>
      </c>
      <c r="H33" s="75">
        <f t="shared" si="5"/>
        <v>574262.37830496265</v>
      </c>
      <c r="I33" s="92">
        <f t="shared" si="7"/>
        <v>105350.31458870997</v>
      </c>
      <c r="J33" s="93"/>
      <c r="K33" s="94">
        <f>436200*0.7</f>
        <v>305340</v>
      </c>
    </row>
    <row r="34" spans="1:11" x14ac:dyDescent="0.55000000000000004">
      <c r="A34" s="68" t="s">
        <v>49</v>
      </c>
      <c r="B34" s="69"/>
      <c r="C34" s="73">
        <v>0.16074255174202612</v>
      </c>
      <c r="D34" s="74">
        <f t="shared" si="4"/>
        <v>1899308.6382648072</v>
      </c>
      <c r="E34" s="75"/>
      <c r="G34" s="75">
        <f t="shared" si="6"/>
        <v>1899308.6382648072</v>
      </c>
      <c r="H34" s="75">
        <f t="shared" si="5"/>
        <v>1987601.1723853978</v>
      </c>
      <c r="I34" s="92">
        <f t="shared" si="7"/>
        <v>-88292.534120590659</v>
      </c>
      <c r="J34" s="94">
        <f>E23</f>
        <v>-582585</v>
      </c>
      <c r="K34" s="94"/>
    </row>
    <row r="35" spans="1:11" x14ac:dyDescent="0.55000000000000004">
      <c r="A35" s="68" t="s">
        <v>25</v>
      </c>
      <c r="B35" s="69"/>
      <c r="C35" s="73">
        <v>0.14393029944330765</v>
      </c>
      <c r="D35" s="74">
        <f t="shared" si="4"/>
        <v>1700657.7168156435</v>
      </c>
      <c r="E35" s="75"/>
      <c r="G35" s="75">
        <f t="shared" si="6"/>
        <v>1700657.7168156435</v>
      </c>
      <c r="H35" s="75">
        <f t="shared" si="5"/>
        <v>1779715.6310820538</v>
      </c>
      <c r="I35" s="92">
        <f t="shared" si="7"/>
        <v>-79057.914266410284</v>
      </c>
    </row>
    <row r="36" spans="1:11" x14ac:dyDescent="0.55000000000000004">
      <c r="A36" s="68" t="s">
        <v>26</v>
      </c>
      <c r="B36" s="69"/>
      <c r="C36" s="73">
        <v>0.10490582180704738</v>
      </c>
      <c r="D36" s="74">
        <f t="shared" si="4"/>
        <v>1239550.6442013273</v>
      </c>
      <c r="E36" s="75"/>
      <c r="G36" s="75">
        <f t="shared" si="6"/>
        <v>1239550.6442013273</v>
      </c>
      <c r="H36" s="75">
        <f t="shared" si="5"/>
        <v>1297173.2260937218</v>
      </c>
      <c r="I36" s="92">
        <f t="shared" si="7"/>
        <v>-57622.581892394461</v>
      </c>
    </row>
    <row r="37" spans="1:11" x14ac:dyDescent="0.55000000000000004">
      <c r="A37" s="68" t="s">
        <v>50</v>
      </c>
      <c r="B37" s="69"/>
      <c r="C37" s="73">
        <v>6.5232351732463681E-2</v>
      </c>
      <c r="D37" s="74">
        <f t="shared" si="4"/>
        <v>770775.17929811392</v>
      </c>
      <c r="E37" s="75"/>
      <c r="G37" s="75">
        <f t="shared" si="6"/>
        <v>770775.17929811392</v>
      </c>
      <c r="H37" s="75">
        <f t="shared" si="5"/>
        <v>806605.95079381799</v>
      </c>
      <c r="I37" s="92">
        <f t="shared" si="7"/>
        <v>-35830.771495704073</v>
      </c>
    </row>
    <row r="38" spans="1:11" x14ac:dyDescent="0.55000000000000004">
      <c r="A38" s="68" t="s">
        <v>28</v>
      </c>
      <c r="B38" s="69"/>
      <c r="C38" s="73">
        <v>5.6886491826072964E-2</v>
      </c>
      <c r="D38" s="74">
        <f t="shared" si="4"/>
        <v>672161.81499495485</v>
      </c>
      <c r="E38" s="75"/>
      <c r="G38" s="75">
        <f t="shared" si="6"/>
        <v>672161.81499495485</v>
      </c>
      <c r="H38" s="75">
        <f t="shared" si="5"/>
        <v>703408.37955500395</v>
      </c>
      <c r="I38" s="92">
        <f t="shared" si="7"/>
        <v>-31246.564560049097</v>
      </c>
    </row>
    <row r="39" spans="1:11" x14ac:dyDescent="0.55000000000000004">
      <c r="A39" s="68" t="s">
        <v>18</v>
      </c>
      <c r="B39" s="69"/>
      <c r="C39" s="83">
        <f t="shared" ref="C39:G39" si="8">SUM(C30:C38)</f>
        <v>1</v>
      </c>
      <c r="D39" s="84">
        <f t="shared" si="8"/>
        <v>11815842.275000002</v>
      </c>
      <c r="E39" s="84">
        <f t="shared" si="8"/>
        <v>152670</v>
      </c>
      <c r="F39" s="84">
        <f t="shared" si="8"/>
        <v>130860</v>
      </c>
      <c r="G39" s="84">
        <f t="shared" si="8"/>
        <v>12099372.275000002</v>
      </c>
      <c r="H39" s="84">
        <f t="shared" ref="H39:K39" si="9">SUM(H30:H38)</f>
        <v>12618386.437012376</v>
      </c>
      <c r="I39" s="85">
        <f t="shared" si="9"/>
        <v>-519014.16201237438</v>
      </c>
      <c r="J39" s="84">
        <f t="shared" si="9"/>
        <v>-582585</v>
      </c>
      <c r="K39" s="84">
        <f t="shared" si="9"/>
        <v>305340</v>
      </c>
    </row>
    <row r="40" spans="1:11" ht="14.7" thickBot="1" x14ac:dyDescent="0.6">
      <c r="A40" s="86"/>
      <c r="B40" s="87"/>
      <c r="C40" s="87"/>
      <c r="D40" s="87"/>
      <c r="E40" s="87"/>
      <c r="F40" s="87"/>
      <c r="G40" s="123">
        <f>G39-E20</f>
        <v>0</v>
      </c>
      <c r="H40" s="87"/>
      <c r="I40" s="88"/>
    </row>
    <row r="42" spans="1:11" ht="14.7" thickBot="1" x14ac:dyDescent="0.6"/>
    <row r="43" spans="1:11" x14ac:dyDescent="0.55000000000000004">
      <c r="A43" s="95" t="s">
        <v>62</v>
      </c>
      <c r="B43" s="96"/>
      <c r="C43" s="96"/>
      <c r="D43" s="96"/>
      <c r="E43" s="96"/>
      <c r="F43" s="96"/>
      <c r="G43" s="96"/>
      <c r="H43" s="96"/>
      <c r="I43" s="67"/>
    </row>
    <row r="44" spans="1:11" x14ac:dyDescent="0.55000000000000004">
      <c r="A44" s="97" t="s">
        <v>52</v>
      </c>
      <c r="B44" s="98"/>
      <c r="C44" s="98"/>
      <c r="D44" s="98"/>
      <c r="E44" s="99">
        <f>+'Projected Revenue'!J29</f>
        <v>11771540.527916668</v>
      </c>
      <c r="F44" s="98"/>
      <c r="G44" s="98"/>
      <c r="H44" s="98"/>
      <c r="I44" s="89"/>
    </row>
    <row r="45" spans="1:11" ht="16.2" x14ac:dyDescent="0.85">
      <c r="A45" s="97" t="s">
        <v>53</v>
      </c>
      <c r="B45" s="98"/>
      <c r="C45" s="98"/>
      <c r="D45" s="98"/>
      <c r="E45" s="100">
        <f>+'Projected Revenue'!L38</f>
        <v>159568.49999999997</v>
      </c>
      <c r="F45" s="98"/>
      <c r="G45" s="98"/>
      <c r="H45" s="98"/>
      <c r="I45" s="89"/>
    </row>
    <row r="46" spans="1:11" x14ac:dyDescent="0.55000000000000004">
      <c r="A46" s="97" t="s">
        <v>55</v>
      </c>
      <c r="B46" s="98"/>
      <c r="C46" s="98"/>
      <c r="D46" s="98"/>
      <c r="E46" s="119">
        <f>+E44-E45</f>
        <v>11611972.027916668</v>
      </c>
      <c r="F46" s="98"/>
      <c r="G46" s="98"/>
      <c r="H46" s="98"/>
      <c r="I46" s="89"/>
    </row>
    <row r="47" spans="1:11" x14ac:dyDescent="0.55000000000000004">
      <c r="A47" s="97"/>
      <c r="B47" s="98"/>
      <c r="C47" s="98"/>
      <c r="D47" s="98"/>
      <c r="E47" s="119"/>
      <c r="F47" s="98"/>
      <c r="G47" s="98"/>
      <c r="H47" s="98"/>
      <c r="I47" s="89"/>
    </row>
    <row r="48" spans="1:11" ht="16.2" x14ac:dyDescent="0.85">
      <c r="A48" s="68" t="s">
        <v>54</v>
      </c>
      <c r="B48" s="98"/>
      <c r="C48" s="98"/>
      <c r="D48" s="98"/>
      <c r="E48" s="100">
        <f>+'Projected Revenue'!K35</f>
        <v>702350</v>
      </c>
      <c r="F48" s="98"/>
      <c r="G48" s="98"/>
      <c r="H48" s="98"/>
      <c r="I48" s="89"/>
    </row>
    <row r="49" spans="1:11" ht="16.2" x14ac:dyDescent="0.85">
      <c r="A49" s="97"/>
      <c r="B49" s="98"/>
      <c r="C49" s="98"/>
      <c r="D49" s="98"/>
      <c r="E49" s="100"/>
      <c r="F49" s="98"/>
      <c r="G49" s="98"/>
      <c r="H49" s="98"/>
      <c r="I49" s="89"/>
    </row>
    <row r="50" spans="1:11" x14ac:dyDescent="0.55000000000000004">
      <c r="A50" s="97"/>
      <c r="B50" s="98"/>
      <c r="C50" s="98"/>
      <c r="D50" s="98"/>
      <c r="E50" s="98"/>
      <c r="F50" s="98"/>
      <c r="G50" s="98"/>
      <c r="H50" s="98"/>
      <c r="I50" s="89"/>
    </row>
    <row r="51" spans="1:11" x14ac:dyDescent="0.55000000000000004">
      <c r="A51" s="97"/>
      <c r="B51" s="98"/>
      <c r="C51" s="98"/>
      <c r="D51" s="98"/>
      <c r="E51" s="98"/>
      <c r="F51" s="98"/>
      <c r="G51" s="98"/>
      <c r="H51" s="98"/>
      <c r="I51" s="89"/>
    </row>
    <row r="52" spans="1:11" x14ac:dyDescent="0.55000000000000004">
      <c r="A52" s="97"/>
      <c r="B52" s="98"/>
      <c r="C52" s="98"/>
      <c r="D52" s="129" t="s">
        <v>63</v>
      </c>
      <c r="E52" s="129"/>
      <c r="F52" s="129"/>
      <c r="G52" s="98"/>
      <c r="H52" s="98"/>
      <c r="I52" s="89"/>
      <c r="J52" s="125" t="s">
        <v>71</v>
      </c>
      <c r="K52" s="126"/>
    </row>
    <row r="53" spans="1:11" ht="28.8" x14ac:dyDescent="0.55000000000000004">
      <c r="A53" s="97"/>
      <c r="B53" s="98"/>
      <c r="C53" s="98"/>
      <c r="D53" s="98" t="s">
        <v>64</v>
      </c>
      <c r="E53" s="101" t="s">
        <v>43</v>
      </c>
      <c r="F53" s="98" t="s">
        <v>38</v>
      </c>
      <c r="G53" s="69" t="s">
        <v>18</v>
      </c>
      <c r="H53" s="120" t="s">
        <v>70</v>
      </c>
      <c r="I53" s="89" t="s">
        <v>61</v>
      </c>
      <c r="J53" s="63" t="s">
        <v>59</v>
      </c>
      <c r="K53" s="122" t="s">
        <v>72</v>
      </c>
    </row>
    <row r="54" spans="1:11" x14ac:dyDescent="0.55000000000000004">
      <c r="A54" s="97"/>
      <c r="B54" s="98"/>
      <c r="C54" s="98"/>
      <c r="D54" s="98"/>
      <c r="E54" s="98"/>
      <c r="F54" s="98"/>
      <c r="G54" s="69"/>
      <c r="H54" s="69"/>
      <c r="I54" s="89"/>
      <c r="J54" s="69"/>
    </row>
    <row r="55" spans="1:11" x14ac:dyDescent="0.55000000000000004">
      <c r="A55" s="97" t="s">
        <v>45</v>
      </c>
      <c r="B55" s="98"/>
      <c r="C55" s="102">
        <v>5.6853493088248143E-2</v>
      </c>
      <c r="D55" s="103">
        <f>+C55*$E$46</f>
        <v>660181.17143009102</v>
      </c>
      <c r="E55" s="104"/>
      <c r="F55" s="98"/>
      <c r="G55" s="75">
        <f>D55+E55+F55</f>
        <v>660181.17143009102</v>
      </c>
      <c r="H55" s="75">
        <f t="shared" ref="H55:H63" si="10">+G30</f>
        <v>671771.90711354278</v>
      </c>
      <c r="I55" s="92">
        <f>+G55-H55</f>
        <v>-11590.735683451756</v>
      </c>
      <c r="J55" s="69"/>
    </row>
    <row r="56" spans="1:11" x14ac:dyDescent="0.55000000000000004">
      <c r="A56" s="97" t="s">
        <v>46</v>
      </c>
      <c r="B56" s="98"/>
      <c r="C56" s="102">
        <v>0.25987448796892321</v>
      </c>
      <c r="D56" s="103">
        <f t="shared" ref="D56:D63" si="11">+C56*$E$46</f>
        <v>3017655.2850643029</v>
      </c>
      <c r="E56" s="104"/>
      <c r="F56" s="98"/>
      <c r="G56" s="75">
        <f t="shared" ref="G56:G63" si="12">D56+E56+F56</f>
        <v>3017655.2850643029</v>
      </c>
      <c r="H56" s="75">
        <f t="shared" si="10"/>
        <v>3070635.9611371816</v>
      </c>
      <c r="I56" s="92">
        <f t="shared" ref="I56:I63" si="13">+G56-H56</f>
        <v>-52980.676072878763</v>
      </c>
      <c r="J56" s="69"/>
    </row>
    <row r="57" spans="1:11" x14ac:dyDescent="0.55000000000000004">
      <c r="A57" s="97" t="s">
        <v>47</v>
      </c>
      <c r="B57" s="98"/>
      <c r="C57" s="102">
        <v>0.10513238848059672</v>
      </c>
      <c r="D57" s="103">
        <f t="shared" si="11"/>
        <v>1220794.3542647576</v>
      </c>
      <c r="E57" s="105">
        <f>+E45</f>
        <v>159568.49999999997</v>
      </c>
      <c r="F57" s="98"/>
      <c r="G57" s="75">
        <f t="shared" si="12"/>
        <v>1380362.8542647576</v>
      </c>
      <c r="H57" s="75">
        <f t="shared" si="10"/>
        <v>1394897.7202807579</v>
      </c>
      <c r="I57" s="92">
        <f t="shared" si="13"/>
        <v>-14534.866016000276</v>
      </c>
      <c r="J57" s="69"/>
    </row>
    <row r="58" spans="1:11" x14ac:dyDescent="0.55000000000000004">
      <c r="A58" s="97" t="s">
        <v>48</v>
      </c>
      <c r="B58" s="98"/>
      <c r="C58" s="102">
        <v>4.644211391131426E-2</v>
      </c>
      <c r="D58" s="103">
        <f t="shared" si="11"/>
        <v>539284.5276555008</v>
      </c>
      <c r="E58" s="104"/>
      <c r="F58" s="99">
        <v>136773</v>
      </c>
      <c r="G58" s="75">
        <f t="shared" si="12"/>
        <v>676057.5276555008</v>
      </c>
      <c r="H58" s="75">
        <f t="shared" si="10"/>
        <v>679612.69289367262</v>
      </c>
      <c r="I58" s="92">
        <f t="shared" si="13"/>
        <v>-3555.1652381718159</v>
      </c>
      <c r="J58" s="71"/>
      <c r="K58" s="94">
        <v>319137.00000000006</v>
      </c>
    </row>
    <row r="59" spans="1:11" x14ac:dyDescent="0.55000000000000004">
      <c r="A59" s="97" t="s">
        <v>49</v>
      </c>
      <c r="B59" s="98"/>
      <c r="C59" s="102">
        <v>0.16074255174202612</v>
      </c>
      <c r="D59" s="103">
        <f t="shared" si="11"/>
        <v>1866538.0145243551</v>
      </c>
      <c r="E59" s="104"/>
      <c r="F59" s="98"/>
      <c r="G59" s="75">
        <f t="shared" si="12"/>
        <v>1866538.0145243551</v>
      </c>
      <c r="H59" s="75">
        <f t="shared" si="10"/>
        <v>1899308.6382648072</v>
      </c>
      <c r="I59" s="92">
        <f t="shared" si="13"/>
        <v>-32770.623740452109</v>
      </c>
      <c r="J59" s="121">
        <v>702350</v>
      </c>
    </row>
    <row r="60" spans="1:11" x14ac:dyDescent="0.55000000000000004">
      <c r="A60" s="97" t="s">
        <v>25</v>
      </c>
      <c r="B60" s="98"/>
      <c r="C60" s="102">
        <v>0.14393029944330765</v>
      </c>
      <c r="D60" s="103">
        <f t="shared" si="11"/>
        <v>1671314.6111053585</v>
      </c>
      <c r="E60" s="104"/>
      <c r="F60" s="98"/>
      <c r="G60" s="75">
        <f t="shared" si="12"/>
        <v>1671314.6111053585</v>
      </c>
      <c r="H60" s="75">
        <f t="shared" si="10"/>
        <v>1700657.7168156435</v>
      </c>
      <c r="I60" s="92">
        <f t="shared" si="13"/>
        <v>-29343.105710285017</v>
      </c>
      <c r="J60" s="69"/>
    </row>
    <row r="61" spans="1:11" x14ac:dyDescent="0.55000000000000004">
      <c r="A61" s="97" t="s">
        <v>26</v>
      </c>
      <c r="B61" s="98"/>
      <c r="C61" s="102">
        <v>0.10490582180704738</v>
      </c>
      <c r="D61" s="103">
        <f t="shared" si="11"/>
        <v>1218163.4683890445</v>
      </c>
      <c r="E61" s="104"/>
      <c r="F61" s="98"/>
      <c r="G61" s="75">
        <f t="shared" si="12"/>
        <v>1218163.4683890445</v>
      </c>
      <c r="H61" s="75">
        <f t="shared" si="10"/>
        <v>1239550.6442013273</v>
      </c>
      <c r="I61" s="92">
        <f t="shared" si="13"/>
        <v>-21387.175812282832</v>
      </c>
      <c r="J61" s="69"/>
    </row>
    <row r="62" spans="1:11" x14ac:dyDescent="0.55000000000000004">
      <c r="A62" s="97" t="s">
        <v>50</v>
      </c>
      <c r="B62" s="98"/>
      <c r="C62" s="102">
        <v>6.5232351732463681E-2</v>
      </c>
      <c r="D62" s="103">
        <f t="shared" si="11"/>
        <v>757476.2436325897</v>
      </c>
      <c r="E62" s="104"/>
      <c r="F62" s="98"/>
      <c r="G62" s="75">
        <f t="shared" si="12"/>
        <v>757476.2436325897</v>
      </c>
      <c r="H62" s="75">
        <f t="shared" si="10"/>
        <v>770775.17929811392</v>
      </c>
      <c r="I62" s="92">
        <f t="shared" si="13"/>
        <v>-13298.935665524215</v>
      </c>
      <c r="J62" s="69"/>
    </row>
    <row r="63" spans="1:11" x14ac:dyDescent="0.55000000000000004">
      <c r="A63" s="97" t="s">
        <v>28</v>
      </c>
      <c r="B63" s="98"/>
      <c r="C63" s="102">
        <v>5.6886491826072964E-2</v>
      </c>
      <c r="D63" s="103">
        <f t="shared" si="11"/>
        <v>660564.35185066948</v>
      </c>
      <c r="E63" s="104"/>
      <c r="F63" s="98"/>
      <c r="G63" s="75">
        <f t="shared" si="12"/>
        <v>660564.35185066948</v>
      </c>
      <c r="H63" s="75">
        <f t="shared" si="10"/>
        <v>672161.81499495485</v>
      </c>
      <c r="I63" s="92">
        <f t="shared" si="13"/>
        <v>-11597.463144285372</v>
      </c>
      <c r="J63" s="69"/>
    </row>
    <row r="64" spans="1:11" x14ac:dyDescent="0.55000000000000004">
      <c r="A64" s="97" t="s">
        <v>18</v>
      </c>
      <c r="B64" s="98"/>
      <c r="C64" s="106">
        <f>SUM(C55:C63)</f>
        <v>1</v>
      </c>
      <c r="D64" s="107">
        <f>SUM(D55:D63)</f>
        <v>11611972.027916672</v>
      </c>
      <c r="E64" s="107">
        <f t="shared" ref="E64:F64" si="14">SUM(E55:E63)</f>
        <v>159568.49999999997</v>
      </c>
      <c r="F64" s="107">
        <f t="shared" si="14"/>
        <v>136773</v>
      </c>
      <c r="G64" s="84">
        <f t="shared" ref="G64" si="15">SUM(G55:G63)</f>
        <v>11908313.527916672</v>
      </c>
      <c r="H64" s="84">
        <f t="shared" ref="H64:K64" si="16">SUM(H55:H63)</f>
        <v>12099372.275000002</v>
      </c>
      <c r="I64" s="85">
        <f t="shared" si="16"/>
        <v>-191058.74708333216</v>
      </c>
      <c r="J64" s="84">
        <f t="shared" si="16"/>
        <v>702350</v>
      </c>
      <c r="K64" s="84">
        <f t="shared" si="16"/>
        <v>319137.00000000006</v>
      </c>
    </row>
    <row r="65" spans="1:10" ht="14.7" thickBot="1" x14ac:dyDescent="0.6">
      <c r="A65" s="108"/>
      <c r="B65" s="109"/>
      <c r="C65" s="109"/>
      <c r="D65" s="109"/>
      <c r="E65" s="109"/>
      <c r="F65" s="109"/>
      <c r="G65" s="87"/>
      <c r="H65" s="87"/>
      <c r="I65" s="88"/>
      <c r="J65" s="87"/>
    </row>
  </sheetData>
  <mergeCells count="7">
    <mergeCell ref="J27:K27"/>
    <mergeCell ref="J52:K52"/>
    <mergeCell ref="D3:F3"/>
    <mergeCell ref="G3:H3"/>
    <mergeCell ref="I3:I4"/>
    <mergeCell ref="D27:F27"/>
    <mergeCell ref="D52:F5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Projected Revenue</vt:lpstr>
      <vt:lpstr>Budget Allocation</vt:lpstr>
      <vt:lpstr>'Projected Revenue'!Print_Area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Roselle</dc:creator>
  <cp:lastModifiedBy>roselle togonon</cp:lastModifiedBy>
  <dcterms:created xsi:type="dcterms:W3CDTF">2026-08-18T04:34:37Z</dcterms:created>
  <dcterms:modified xsi:type="dcterms:W3CDTF">2026-09-01T02:30:28Z</dcterms:modified>
</cp:coreProperties>
</file>