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er Maridell\Desktop\Online-COMFSM\Agenda-12-02-2021\"/>
    </mc:Choice>
  </mc:AlternateContent>
  <bookViews>
    <workbookView xWindow="0" yWindow="0" windowWidth="25200" windowHeight="11985" activeTab="2"/>
  </bookViews>
  <sheets>
    <sheet name="1.Directions" sheetId="4" r:id="rId1"/>
    <sheet name="2.Performance_Items" sheetId="1" r:id="rId2"/>
    <sheet name="rev_exp" sheetId="12" r:id="rId3"/>
    <sheet name="3.Pay Level" sheetId="9" r:id="rId4"/>
    <sheet name="4.Fringe_Benefits" sheetId="7" r:id="rId5"/>
    <sheet name="5.Budget_Items" sheetId="2" r:id="rId6"/>
    <sheet name="Activity Cost" sheetId="5" r:id="rId7"/>
    <sheet name="Pay Levels" sheetId="8" state="hidden" r:id="rId8"/>
    <sheet name="line item" sheetId="10" r:id="rId9"/>
    <sheet name="Summary" sheetId="11" r:id="rId10"/>
  </sheets>
  <calcPr calcId="152511"/>
</workbook>
</file>

<file path=xl/calcChain.xml><?xml version="1.0" encoding="utf-8"?>
<calcChain xmlns="http://schemas.openxmlformats.org/spreadsheetml/2006/main">
  <c r="F22" i="10" l="1"/>
  <c r="F20" i="10"/>
  <c r="F19" i="10"/>
  <c r="F18" i="10"/>
  <c r="F17" i="10"/>
  <c r="F16" i="10"/>
  <c r="F14" i="10"/>
  <c r="B13" i="5"/>
  <c r="B12" i="5"/>
  <c r="B11" i="5"/>
  <c r="B10" i="5"/>
  <c r="B9" i="5"/>
  <c r="D8" i="5"/>
  <c r="B8" i="5"/>
  <c r="B7" i="5"/>
  <c r="B6" i="5"/>
  <c r="B5" i="5"/>
  <c r="B43" i="2"/>
  <c r="W42" i="2"/>
  <c r="V42" i="2"/>
  <c r="V43" i="2" s="1"/>
  <c r="G13" i="5" s="1"/>
  <c r="T42" i="2"/>
  <c r="T43" i="2" s="1"/>
  <c r="G12" i="5" s="1"/>
  <c r="R42" i="2"/>
  <c r="R43" i="2" s="1"/>
  <c r="G11" i="5" s="1"/>
  <c r="P42" i="2"/>
  <c r="P43" i="2" s="1"/>
  <c r="G10" i="5" s="1"/>
  <c r="N42" i="2"/>
  <c r="N43" i="2" s="1"/>
  <c r="G9" i="5" s="1"/>
  <c r="L42" i="2"/>
  <c r="L43" i="2" s="1"/>
  <c r="G8" i="5" s="1"/>
  <c r="J42" i="2"/>
  <c r="X42" i="2" s="1"/>
  <c r="X43" i="2" s="1"/>
  <c r="H42" i="2"/>
  <c r="H43" i="2" s="1"/>
  <c r="G6" i="5" s="1"/>
  <c r="F42" i="2"/>
  <c r="F43" i="2" s="1"/>
  <c r="G5" i="5" s="1"/>
  <c r="J37" i="2"/>
  <c r="F7" i="5" s="1"/>
  <c r="B37" i="2"/>
  <c r="W36" i="2"/>
  <c r="V36" i="2"/>
  <c r="T36" i="2"/>
  <c r="R36" i="2"/>
  <c r="P36" i="2"/>
  <c r="N36" i="2"/>
  <c r="L36" i="2"/>
  <c r="L37" i="2" s="1"/>
  <c r="F8" i="5" s="1"/>
  <c r="J36" i="2"/>
  <c r="H36" i="2"/>
  <c r="F36" i="2"/>
  <c r="X36" i="2" s="1"/>
  <c r="W35" i="2"/>
  <c r="V35" i="2"/>
  <c r="T35" i="2"/>
  <c r="T37" i="2" s="1"/>
  <c r="F12" i="5" s="1"/>
  <c r="R35" i="2"/>
  <c r="P35" i="2"/>
  <c r="N35" i="2"/>
  <c r="L35" i="2"/>
  <c r="J35" i="2"/>
  <c r="H35" i="2"/>
  <c r="F35" i="2"/>
  <c r="X35" i="2" s="1"/>
  <c r="W34" i="2"/>
  <c r="V34" i="2"/>
  <c r="T34" i="2"/>
  <c r="R34" i="2"/>
  <c r="R37" i="2" s="1"/>
  <c r="F11" i="5" s="1"/>
  <c r="P34" i="2"/>
  <c r="N34" i="2"/>
  <c r="L34" i="2"/>
  <c r="J34" i="2"/>
  <c r="H34" i="2"/>
  <c r="F34" i="2"/>
  <c r="F37" i="2" s="1"/>
  <c r="F5" i="5" s="1"/>
  <c r="W33" i="2"/>
  <c r="V33" i="2"/>
  <c r="T33" i="2"/>
  <c r="R33" i="2"/>
  <c r="P33" i="2"/>
  <c r="P37" i="2" s="1"/>
  <c r="F10" i="5" s="1"/>
  <c r="N33" i="2"/>
  <c r="L33" i="2"/>
  <c r="J33" i="2"/>
  <c r="H33" i="2"/>
  <c r="F33" i="2"/>
  <c r="X33" i="2" s="1"/>
  <c r="X32" i="2"/>
  <c r="W32" i="2"/>
  <c r="V32" i="2"/>
  <c r="V37" i="2" s="1"/>
  <c r="F13" i="5" s="1"/>
  <c r="T32" i="2"/>
  <c r="R32" i="2"/>
  <c r="P32" i="2"/>
  <c r="N32" i="2"/>
  <c r="N37" i="2" s="1"/>
  <c r="F9" i="5" s="1"/>
  <c r="L32" i="2"/>
  <c r="J32" i="2"/>
  <c r="H32" i="2"/>
  <c r="H37" i="2" s="1"/>
  <c r="F6" i="5" s="1"/>
  <c r="F32" i="2"/>
  <c r="L27" i="2"/>
  <c r="E8" i="5" s="1"/>
  <c r="J27" i="2"/>
  <c r="E7" i="5" s="1"/>
  <c r="B27" i="2"/>
  <c r="W26" i="2"/>
  <c r="V26" i="2"/>
  <c r="V27" i="2" s="1"/>
  <c r="E13" i="5" s="1"/>
  <c r="T26" i="2"/>
  <c r="R26" i="2"/>
  <c r="P26" i="2"/>
  <c r="N26" i="2"/>
  <c r="J26" i="2"/>
  <c r="H26" i="2"/>
  <c r="H27" i="2" s="1"/>
  <c r="E6" i="5" s="1"/>
  <c r="F26" i="2"/>
  <c r="X26" i="2" s="1"/>
  <c r="W25" i="2"/>
  <c r="V25" i="2"/>
  <c r="T25" i="2"/>
  <c r="T27" i="2" s="1"/>
  <c r="E12" i="5" s="1"/>
  <c r="R25" i="2"/>
  <c r="R27" i="2" s="1"/>
  <c r="E11" i="5" s="1"/>
  <c r="P25" i="2"/>
  <c r="P27" i="2" s="1"/>
  <c r="E10" i="5" s="1"/>
  <c r="N25" i="2"/>
  <c r="N27" i="2" s="1"/>
  <c r="E9" i="5" s="1"/>
  <c r="L25" i="2"/>
  <c r="J25" i="2"/>
  <c r="H25" i="2"/>
  <c r="F25" i="2"/>
  <c r="F27" i="2" s="1"/>
  <c r="E5" i="5" s="1"/>
  <c r="V20" i="2"/>
  <c r="D13" i="5" s="1"/>
  <c r="U20" i="2"/>
  <c r="S20" i="2"/>
  <c r="Q20" i="2"/>
  <c r="O20" i="2"/>
  <c r="M20" i="2"/>
  <c r="L20" i="2"/>
  <c r="K20" i="2"/>
  <c r="I20" i="2"/>
  <c r="G20" i="2"/>
  <c r="W20" i="2" s="1"/>
  <c r="B20" i="2"/>
  <c r="F13" i="10" s="1"/>
  <c r="W19" i="2"/>
  <c r="V19" i="2"/>
  <c r="T19" i="2"/>
  <c r="T20" i="2" s="1"/>
  <c r="D12" i="5" s="1"/>
  <c r="R19" i="2"/>
  <c r="P19" i="2"/>
  <c r="N19" i="2"/>
  <c r="L19" i="2"/>
  <c r="J19" i="2"/>
  <c r="H19" i="2"/>
  <c r="F19" i="2"/>
  <c r="X19" i="2" s="1"/>
  <c r="W18" i="2"/>
  <c r="V18" i="2"/>
  <c r="T18" i="2"/>
  <c r="R18" i="2"/>
  <c r="P18" i="2"/>
  <c r="N18" i="2"/>
  <c r="L18" i="2"/>
  <c r="J18" i="2"/>
  <c r="H18" i="2"/>
  <c r="H20" i="2" s="1"/>
  <c r="D6" i="5" s="1"/>
  <c r="F18" i="2"/>
  <c r="X18" i="2" s="1"/>
  <c r="W17" i="2"/>
  <c r="V17" i="2"/>
  <c r="T17" i="2"/>
  <c r="R17" i="2"/>
  <c r="R20" i="2" s="1"/>
  <c r="D11" i="5" s="1"/>
  <c r="P17" i="2"/>
  <c r="P20" i="2" s="1"/>
  <c r="D10" i="5" s="1"/>
  <c r="N17" i="2"/>
  <c r="N20" i="2" s="1"/>
  <c r="D9" i="5" s="1"/>
  <c r="L17" i="2"/>
  <c r="J17" i="2"/>
  <c r="J20" i="2" s="1"/>
  <c r="D7" i="5" s="1"/>
  <c r="H17" i="2"/>
  <c r="F17" i="2"/>
  <c r="F20" i="2" s="1"/>
  <c r="U12" i="2"/>
  <c r="S12" i="2"/>
  <c r="Q12" i="2"/>
  <c r="O12" i="2"/>
  <c r="M12" i="2"/>
  <c r="K12" i="2"/>
  <c r="I12" i="2"/>
  <c r="G12" i="2"/>
  <c r="E12" i="2"/>
  <c r="W11" i="2"/>
  <c r="B11" i="2"/>
  <c r="A11" i="2"/>
  <c r="W10" i="2"/>
  <c r="B10" i="2"/>
  <c r="A10" i="2"/>
  <c r="W9" i="2"/>
  <c r="B9" i="2"/>
  <c r="A9" i="2"/>
  <c r="W8" i="2"/>
  <c r="B8" i="2"/>
  <c r="A8" i="2"/>
  <c r="W7" i="2"/>
  <c r="A7" i="2"/>
  <c r="W6" i="2"/>
  <c r="A6" i="2"/>
  <c r="W5" i="2"/>
  <c r="B5" i="2"/>
  <c r="A5" i="2"/>
  <c r="W4" i="2"/>
  <c r="W12" i="2" s="1"/>
  <c r="B4" i="2"/>
  <c r="A4" i="2"/>
  <c r="E10" i="7"/>
  <c r="F8" i="10" s="1"/>
  <c r="G15" i="12" s="1"/>
  <c r="I15" i="12" s="1"/>
  <c r="D10" i="7"/>
  <c r="F11" i="10" s="1"/>
  <c r="G18" i="12" s="1"/>
  <c r="I18" i="12" s="1"/>
  <c r="A9" i="7"/>
  <c r="A7" i="7"/>
  <c r="A6" i="7"/>
  <c r="A5" i="7"/>
  <c r="A4" i="7"/>
  <c r="A3" i="7"/>
  <c r="C2" i="7"/>
  <c r="A2" i="7"/>
  <c r="P10" i="9"/>
  <c r="O10" i="9"/>
  <c r="Q10" i="9" s="1"/>
  <c r="Q9" i="9"/>
  <c r="C8" i="7" s="1"/>
  <c r="P9" i="9"/>
  <c r="O9" i="9"/>
  <c r="Q8" i="9"/>
  <c r="C9" i="2" s="1"/>
  <c r="P8" i="9"/>
  <c r="O8" i="9"/>
  <c r="P7" i="9"/>
  <c r="O7" i="9"/>
  <c r="Q7" i="9" s="1"/>
  <c r="F5" i="9"/>
  <c r="F6" i="9" s="1"/>
  <c r="Q4" i="9"/>
  <c r="C5" i="2" s="1"/>
  <c r="P4" i="9"/>
  <c r="O4" i="9"/>
  <c r="Q3" i="9"/>
  <c r="R3" i="9" s="1"/>
  <c r="P3" i="9"/>
  <c r="O3" i="9"/>
  <c r="G55" i="12"/>
  <c r="G54" i="12"/>
  <c r="G53" i="12"/>
  <c r="H46" i="12"/>
  <c r="H51" i="12" s="1"/>
  <c r="G9" i="12" s="1"/>
  <c r="G46" i="12"/>
  <c r="H42" i="12"/>
  <c r="G42" i="12"/>
  <c r="H38" i="12"/>
  <c r="G38" i="12"/>
  <c r="G51" i="12" s="1"/>
  <c r="G8" i="12" s="1"/>
  <c r="H33" i="12"/>
  <c r="E27" i="12"/>
  <c r="E29" i="12" s="1"/>
  <c r="I26" i="12"/>
  <c r="I25" i="12"/>
  <c r="G24" i="12"/>
  <c r="I24" i="12" s="1"/>
  <c r="G23" i="12"/>
  <c r="I23" i="12" s="1"/>
  <c r="I22" i="12"/>
  <c r="G22" i="12"/>
  <c r="I21" i="12"/>
  <c r="G21" i="12"/>
  <c r="G20" i="12"/>
  <c r="I20" i="12" s="1"/>
  <c r="G19" i="12"/>
  <c r="I19" i="12" s="1"/>
  <c r="C8" i="2" l="1"/>
  <c r="C6" i="7"/>
  <c r="C10" i="7" s="1"/>
  <c r="F10" i="10" s="1"/>
  <c r="G17" i="12" s="1"/>
  <c r="I17" i="12" s="1"/>
  <c r="B6" i="7"/>
  <c r="G6" i="7" s="1"/>
  <c r="R7" i="9"/>
  <c r="X20" i="2"/>
  <c r="D5" i="5"/>
  <c r="D14" i="5" s="1"/>
  <c r="F14" i="5"/>
  <c r="X37" i="2"/>
  <c r="C9" i="7"/>
  <c r="B9" i="7"/>
  <c r="R10" i="9"/>
  <c r="C11" i="2"/>
  <c r="F9" i="7"/>
  <c r="B12" i="2"/>
  <c r="G10" i="12"/>
  <c r="E14" i="5"/>
  <c r="B7" i="2"/>
  <c r="O6" i="9"/>
  <c r="G14" i="5"/>
  <c r="F3" i="7"/>
  <c r="C7" i="7"/>
  <c r="F7" i="7"/>
  <c r="B6" i="2"/>
  <c r="C10" i="2"/>
  <c r="X34" i="2"/>
  <c r="J43" i="2"/>
  <c r="G7" i="5" s="1"/>
  <c r="R4" i="9"/>
  <c r="R9" i="9"/>
  <c r="B2" i="7"/>
  <c r="B8" i="7"/>
  <c r="G8" i="7" s="1"/>
  <c r="X17" i="2"/>
  <c r="F8" i="7"/>
  <c r="F2" i="7"/>
  <c r="O5" i="9"/>
  <c r="J5" i="9"/>
  <c r="F11" i="9"/>
  <c r="B3" i="7"/>
  <c r="C4" i="2"/>
  <c r="X25" i="2"/>
  <c r="X27" i="2" s="1"/>
  <c r="C3" i="7"/>
  <c r="R8" i="9"/>
  <c r="B7" i="7"/>
  <c r="G7" i="7" s="1"/>
  <c r="D9" i="2" s="1"/>
  <c r="V9" i="2" l="1"/>
  <c r="T9" i="2"/>
  <c r="L9" i="2"/>
  <c r="R9" i="2"/>
  <c r="P9" i="2"/>
  <c r="N9" i="2"/>
  <c r="J9" i="2"/>
  <c r="H9" i="2"/>
  <c r="F9" i="2"/>
  <c r="X9" i="2" s="1"/>
  <c r="Q6" i="9"/>
  <c r="G2" i="7"/>
  <c r="G3" i="7"/>
  <c r="D5" i="2" s="1"/>
  <c r="G9" i="7"/>
  <c r="O11" i="9"/>
  <c r="Q5" i="9"/>
  <c r="F10" i="7"/>
  <c r="F9" i="10" s="1"/>
  <c r="G16" i="12" s="1"/>
  <c r="I16" i="12" s="1"/>
  <c r="D11" i="2"/>
  <c r="D8" i="2"/>
  <c r="D10" i="2"/>
  <c r="J6" i="9"/>
  <c r="P6" i="9" s="1"/>
  <c r="J11" i="9"/>
  <c r="P5" i="9"/>
  <c r="P11" i="9" s="1"/>
  <c r="T10" i="2" l="1"/>
  <c r="R10" i="2"/>
  <c r="P10" i="2"/>
  <c r="F10" i="2"/>
  <c r="N10" i="2"/>
  <c r="L10" i="2"/>
  <c r="J10" i="2"/>
  <c r="H10" i="2"/>
  <c r="V10" i="2"/>
  <c r="H8" i="2"/>
  <c r="F8" i="2"/>
  <c r="R8" i="2"/>
  <c r="V8" i="2"/>
  <c r="T8" i="2"/>
  <c r="P8" i="2"/>
  <c r="N8" i="2"/>
  <c r="L8" i="2"/>
  <c r="J8" i="2"/>
  <c r="N11" i="2"/>
  <c r="J11" i="2"/>
  <c r="H11" i="2"/>
  <c r="F11" i="2"/>
  <c r="V11" i="2"/>
  <c r="T11" i="2"/>
  <c r="R11" i="2"/>
  <c r="L11" i="2"/>
  <c r="P11" i="2"/>
  <c r="R5" i="9"/>
  <c r="C6" i="2"/>
  <c r="B4" i="7"/>
  <c r="Q11" i="9"/>
  <c r="B5" i="7"/>
  <c r="G5" i="7" s="1"/>
  <c r="C7" i="2"/>
  <c r="R6" i="9"/>
  <c r="D4" i="2"/>
  <c r="V5" i="2"/>
  <c r="T5" i="2"/>
  <c r="N5" i="2"/>
  <c r="R5" i="2"/>
  <c r="P5" i="2"/>
  <c r="J5" i="2"/>
  <c r="H5" i="2"/>
  <c r="F5" i="2"/>
  <c r="L5" i="2"/>
  <c r="X8" i="2" l="1"/>
  <c r="X11" i="2"/>
  <c r="X5" i="2"/>
  <c r="G4" i="7"/>
  <c r="G10" i="7" s="1"/>
  <c r="B10" i="7"/>
  <c r="F7" i="10" s="1"/>
  <c r="G14" i="12" s="1"/>
  <c r="I14" i="12" s="1"/>
  <c r="H4" i="2"/>
  <c r="T4" i="2"/>
  <c r="V4" i="2"/>
  <c r="R4" i="2"/>
  <c r="P4" i="2"/>
  <c r="L4" i="2"/>
  <c r="F4" i="2"/>
  <c r="J4" i="2"/>
  <c r="N4" i="2"/>
  <c r="D7" i="2"/>
  <c r="C12" i="2"/>
  <c r="F6" i="10" s="1"/>
  <c r="R11" i="9"/>
  <c r="X10" i="2"/>
  <c r="N7" i="2" l="1"/>
  <c r="L7" i="2"/>
  <c r="J7" i="2"/>
  <c r="H7" i="2"/>
  <c r="F7" i="2"/>
  <c r="V7" i="2"/>
  <c r="T7" i="2"/>
  <c r="R7" i="2"/>
  <c r="P7" i="2"/>
  <c r="X4" i="2"/>
  <c r="F23" i="10"/>
  <c r="G13" i="12"/>
  <c r="D6" i="2"/>
  <c r="T6" i="2" l="1"/>
  <c r="T12" i="2" s="1"/>
  <c r="C12" i="5" s="1"/>
  <c r="H12" i="5" s="1"/>
  <c r="P6" i="2"/>
  <c r="P12" i="2" s="1"/>
  <c r="C10" i="5" s="1"/>
  <c r="H10" i="5" s="1"/>
  <c r="N6" i="2"/>
  <c r="N12" i="2" s="1"/>
  <c r="C9" i="5" s="1"/>
  <c r="H9" i="5" s="1"/>
  <c r="F6" i="2"/>
  <c r="L6" i="2"/>
  <c r="L12" i="2" s="1"/>
  <c r="C8" i="5" s="1"/>
  <c r="H8" i="5" s="1"/>
  <c r="J6" i="2"/>
  <c r="J12" i="2" s="1"/>
  <c r="C7" i="5" s="1"/>
  <c r="H7" i="5" s="1"/>
  <c r="H6" i="2"/>
  <c r="H12" i="2" s="1"/>
  <c r="C6" i="5" s="1"/>
  <c r="H6" i="5" s="1"/>
  <c r="R6" i="2"/>
  <c r="R12" i="2" s="1"/>
  <c r="C11" i="5" s="1"/>
  <c r="H11" i="5" s="1"/>
  <c r="V6" i="2"/>
  <c r="V12" i="2" s="1"/>
  <c r="C13" i="5" s="1"/>
  <c r="H13" i="5" s="1"/>
  <c r="D12" i="2"/>
  <c r="B46" i="2" s="1"/>
  <c r="G27" i="12"/>
  <c r="G29" i="12" s="1"/>
  <c r="I13" i="12"/>
  <c r="X7" i="2"/>
  <c r="N14" i="11" l="1"/>
  <c r="N15" i="11"/>
  <c r="N6" i="11"/>
  <c r="N10" i="11"/>
  <c r="N13" i="11"/>
  <c r="O15" i="11" s="1"/>
  <c r="N7" i="11"/>
  <c r="N8" i="11"/>
  <c r="N11" i="11"/>
  <c r="X6" i="2"/>
  <c r="X12" i="2" s="1"/>
  <c r="X46" i="2" s="1"/>
  <c r="F12" i="2"/>
  <c r="C5" i="5" s="1"/>
  <c r="H5" i="5" l="1"/>
  <c r="C14" i="5"/>
  <c r="O11" i="11"/>
  <c r="N5" i="11" l="1"/>
  <c r="H14" i="5"/>
  <c r="I8" i="5" l="1"/>
  <c r="I12" i="5"/>
  <c r="I13" i="5"/>
  <c r="I10" i="5"/>
  <c r="I6" i="5"/>
  <c r="I9" i="5"/>
  <c r="I11" i="5"/>
  <c r="I7" i="5"/>
  <c r="I5" i="5"/>
  <c r="I14" i="5" s="1"/>
  <c r="N16" i="11"/>
  <c r="N17" i="11" s="1"/>
  <c r="O8" i="11"/>
</calcChain>
</file>

<file path=xl/sharedStrings.xml><?xml version="1.0" encoding="utf-8"?>
<sst xmlns="http://schemas.openxmlformats.org/spreadsheetml/2006/main" count="450" uniqueCount="198">
  <si>
    <t>Special Contract</t>
    <phoneticPr fontId="0" type="Hiragana"/>
  </si>
  <si>
    <t xml:space="preserve"> </t>
    <phoneticPr fontId="0" type="Hiragana"/>
  </si>
  <si>
    <t>Chuuk and Yap</t>
    <phoneticPr fontId="0" type="Hiragana"/>
  </si>
  <si>
    <t>Kosrae</t>
    <phoneticPr fontId="0" type="Hiragana"/>
  </si>
  <si>
    <t>x</t>
    <phoneticPr fontId="0" type="Hiragana"/>
  </si>
  <si>
    <t>Personnel Listing</t>
  </si>
  <si>
    <t>Travel</t>
  </si>
  <si>
    <t>Activity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</si>
  <si>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</si>
  <si>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</si>
  <si>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</si>
  <si>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</si>
  <si>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</si>
  <si>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</si>
  <si>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</si>
  <si>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</si>
  <si>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</si>
  <si>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</si>
  <si>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</si>
  <si>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Group Life Insurance</t>
  </si>
  <si>
    <t>Total</t>
  </si>
  <si>
    <t>1. Performance items</t>
    <phoneticPr fontId="0" type="Hiragana"/>
  </si>
  <si>
    <t>4. Budget Items</t>
    <phoneticPr fontId="0" type="Hiragana"/>
  </si>
  <si>
    <t>5. Summary</t>
    <phoneticPr fontId="0" type="Hiragana"/>
  </si>
  <si>
    <t xml:space="preserve"> </t>
    <phoneticPr fontId="0" type="Hiragana"/>
  </si>
  <si>
    <t>Activity</t>
    <phoneticPr fontId="0" type="Hiragana"/>
  </si>
  <si>
    <t>Name</t>
    <phoneticPr fontId="0" type="Hiragana"/>
  </si>
  <si>
    <t xml:space="preserve"> Output </t>
  </si>
  <si>
    <t>Objective</t>
  </si>
  <si>
    <t xml:space="preserve">Output </t>
  </si>
  <si>
    <t xml:space="preserve"> Strategic Goal</t>
  </si>
  <si>
    <t xml:space="preserve">Objective 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</si>
  <si>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</si>
  <si>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</si>
  <si>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</si>
  <si>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</si>
  <si>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</si>
  <si>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</si>
  <si>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</si>
  <si>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</si>
  <si>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</si>
  <si>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</si>
  <si>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</si>
  <si>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x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</si>
  <si>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</si>
  <si>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</si>
  <si>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</si>
  <si>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</si>
  <si>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</si>
  <si>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</si>
  <si>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</si>
  <si>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Effective Date of Step Increment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</si>
  <si>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</si>
  <si>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</si>
  <si>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</si>
  <si>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</si>
  <si>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</si>
  <si>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</si>
  <si>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</si>
  <si>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</si>
  <si>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</si>
  <si>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</si>
  <si>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</si>
  <si>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</si>
  <si>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</si>
  <si>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</si>
  <si>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</si>
  <si>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</si>
  <si>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</si>
  <si>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</si>
  <si>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</si>
  <si>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 xml:space="preserve">Strategy/Activity </t>
  </si>
  <si>
    <t>Strategy/Activity</t>
  </si>
  <si>
    <t>Base + Step Incr</t>
  </si>
  <si>
    <t>Health Insurance: Employer Contribution 52%</t>
  </si>
  <si>
    <t>FIXED ASSETS</t>
  </si>
  <si>
    <t>COST</t>
  </si>
  <si>
    <t>Communications</t>
    <phoneticPr fontId="0" type="Hiragana"/>
  </si>
  <si>
    <t>Printing</t>
    <phoneticPr fontId="0" type="Hiragana"/>
  </si>
  <si>
    <t>Supplies</t>
    <phoneticPr fontId="0" type="Hiragana"/>
  </si>
  <si>
    <t>Unit's Mission Statement</t>
    <phoneticPr fontId="0" type="Hiragana"/>
  </si>
  <si>
    <t>Office/Division Name</t>
    <phoneticPr fontId="0" type="Hiragana"/>
  </si>
  <si>
    <t xml:space="preserve">Fill in your office or division performance items.  </t>
  </si>
  <si>
    <t>Fill in your Budget Items</t>
  </si>
  <si>
    <t>Personnel</t>
  </si>
  <si>
    <t>Amount</t>
    <phoneticPr fontId="0" type="Hiragana"/>
  </si>
  <si>
    <t xml:space="preserve"> </t>
    <phoneticPr fontId="0" type="Hiragana"/>
  </si>
  <si>
    <t xml:space="preserve"> </t>
    <phoneticPr fontId="0" type="Hiragana"/>
  </si>
  <si>
    <t xml:space="preserve"> </t>
    <phoneticPr fontId="0" type="Hiragana"/>
  </si>
  <si>
    <t>Overtime</t>
    <phoneticPr fontId="0" type="Hiragana"/>
  </si>
  <si>
    <t>Staff Travel</t>
    <phoneticPr fontId="0" type="Hiragana"/>
  </si>
  <si>
    <t>Membership Dues/Subscriptions</t>
    <phoneticPr fontId="0" type="Hiragana"/>
  </si>
  <si>
    <t>College of Micronesia-FSM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</si>
  <si>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</si>
  <si>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</si>
  <si>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</si>
  <si>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</si>
  <si>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</si>
  <si>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</si>
  <si>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Summary of Strategies with Corresponding Budget</t>
  </si>
  <si>
    <t>Effectiveness and Efficiency of Operations</t>
  </si>
  <si>
    <t xml:space="preserve">Provide institutional support to foster student success and satisfaction
1.  Improved tracking and reporting of student accounts                                                                                              2. Timely processing and payment of student related accounts (refund, work-study payroll, and other auxilliary services)                                                                                                                                                 3. Fair presentation of Financial Statements                                                                                             </t>
  </si>
  <si>
    <t>Update with applicable laws,  regulations and other governing bodies.</t>
  </si>
  <si>
    <t>students</t>
  </si>
  <si>
    <t>reports</t>
  </si>
  <si>
    <t>D</t>
  </si>
  <si>
    <t>B</t>
  </si>
  <si>
    <t xml:space="preserve"> </t>
  </si>
  <si>
    <t>College of Micronesia - FSM</t>
  </si>
  <si>
    <t>Bookstore Auxilliary Enterprise</t>
  </si>
  <si>
    <t>Projected Statement of Revenues and Expenditures</t>
  </si>
  <si>
    <t>Operating revenue:</t>
  </si>
  <si>
    <t>Sales</t>
  </si>
  <si>
    <t>Less: Cost of Goods Sold</t>
  </si>
  <si>
    <t xml:space="preserve">      Gross Profit</t>
  </si>
  <si>
    <t>Operating Expenses:</t>
  </si>
  <si>
    <t>Salaries</t>
  </si>
  <si>
    <t>Supplies</t>
  </si>
  <si>
    <t>Communication</t>
  </si>
  <si>
    <t>Membership Dues</t>
  </si>
  <si>
    <t>Staff travel</t>
  </si>
  <si>
    <t>Site Visit</t>
  </si>
  <si>
    <t>License Fee</t>
  </si>
  <si>
    <t>Net Change in Fund Balance</t>
  </si>
  <si>
    <t>Purchases of Inventory</t>
  </si>
  <si>
    <t>1.</t>
  </si>
  <si>
    <t>Purchases (Textbooks)</t>
  </si>
  <si>
    <t>Justification:  The amount requested is to cover the cost of all textbooks and</t>
  </si>
  <si>
    <t>course materials required for classes, including custom published</t>
  </si>
  <si>
    <t>booklets.</t>
  </si>
  <si>
    <t>2.</t>
  </si>
  <si>
    <t>Purchases (Sundries)</t>
  </si>
  <si>
    <t>Justification:  The amount requested is to cover the cost of school/office supplies,</t>
  </si>
  <si>
    <t>snacks and beverages, and college crested/imprinted items.</t>
  </si>
  <si>
    <t>3.</t>
  </si>
  <si>
    <t>Purchases (Clothing)</t>
  </si>
  <si>
    <t>Justification:  The amount requested is for the purchase of college imprinted</t>
  </si>
  <si>
    <t>apparels, backpacks, cups, caps and umbrellas.</t>
  </si>
  <si>
    <t>4.</t>
  </si>
  <si>
    <t>Purchases (Office Supplies)</t>
  </si>
  <si>
    <t>Justification:  The amount requested is for the purchase of college's office supplies</t>
  </si>
  <si>
    <t xml:space="preserve">for the offices and campuses of the college. </t>
  </si>
  <si>
    <t>Total Purchases of Inventory</t>
  </si>
  <si>
    <t>Mark - up for Textbooks at 20%</t>
  </si>
  <si>
    <t>Bookstore Manager</t>
  </si>
  <si>
    <t>M</t>
  </si>
  <si>
    <t>E</t>
  </si>
  <si>
    <t>BOOKSTORE</t>
  </si>
  <si>
    <t>Bookstore is committed to provide textbooks and school supplies, and good customer service to students and faculty.</t>
  </si>
  <si>
    <t>Provide institutional support to foster student success and satisfaction by providing the textbook needs of the students and faculty</t>
  </si>
  <si>
    <t>To be able to provide the necessary services for the students and faculty</t>
  </si>
  <si>
    <t>Textbooks are available before the start of the semester.</t>
  </si>
  <si>
    <t>To comply with the guidelines on textbook adoptions, ordering and processing of orders of textbooks and school supplies.</t>
  </si>
  <si>
    <t>To provide good customer service at all times.</t>
  </si>
  <si>
    <t>Textbooks are always available to students and faculty.</t>
  </si>
  <si>
    <t>To provide and maintain a self-sufficient operation</t>
  </si>
  <si>
    <t>Updated inventory records</t>
  </si>
  <si>
    <t>On-line inventory records wherein students and faculty can easily access the inventory items</t>
  </si>
  <si>
    <t>Break - even financial operations.</t>
  </si>
  <si>
    <t>Attend conferences to gather new ideas related to bookstore operation</t>
  </si>
  <si>
    <t>Conduct student activities to know more about student needs</t>
  </si>
  <si>
    <t>Update bookstore operation</t>
  </si>
  <si>
    <t>Updated bookstore operaiton</t>
  </si>
  <si>
    <t>Student Activity</t>
  </si>
  <si>
    <t>To provide and maintain self-sufficient operation</t>
  </si>
  <si>
    <t>To update bookstore operation</t>
  </si>
  <si>
    <t>Update with applicable laws, regulations and other governing bodies.</t>
  </si>
  <si>
    <t>Bookstore /College  Procurement Software</t>
  </si>
  <si>
    <t>Bookstore</t>
  </si>
  <si>
    <t>Vacant</t>
  </si>
  <si>
    <t>Elizabeth Layug</t>
  </si>
  <si>
    <t>Utility Worker(National)</t>
  </si>
  <si>
    <t>Caren Enlet</t>
  </si>
  <si>
    <t>Elsah Cornelius</t>
  </si>
  <si>
    <t>C</t>
  </si>
  <si>
    <t>Account Clerk II(Chuuk)</t>
  </si>
  <si>
    <t>Account Clerk I(Kosrae)</t>
  </si>
  <si>
    <t>Account Clerk I (Yap)</t>
  </si>
  <si>
    <t>Account Clerk I (CTEC)</t>
  </si>
  <si>
    <t>Expenditure Budget-FY 2021</t>
  </si>
  <si>
    <t>Computer(SC) and Software upgrade</t>
  </si>
  <si>
    <t>Mark - up for Supplies at 10%</t>
  </si>
  <si>
    <t>Mark - up for Apparel 30%</t>
  </si>
  <si>
    <t>Shipping &amp; Taxes</t>
  </si>
  <si>
    <t>FY 2022</t>
  </si>
  <si>
    <t>A</t>
  </si>
  <si>
    <t>Bookstore Activities</t>
  </si>
  <si>
    <t>Equipments</t>
  </si>
  <si>
    <t>Mina Lekka</t>
  </si>
  <si>
    <t>Edward Edward</t>
  </si>
  <si>
    <t>Account Clerk III</t>
  </si>
  <si>
    <t>SS tax= 7.5% (not to exceed $2,700 annual)</t>
  </si>
  <si>
    <t>Fiscal Year 2023</t>
  </si>
  <si>
    <t xml:space="preserve">F </t>
  </si>
  <si>
    <t>Eyji Ardos</t>
  </si>
  <si>
    <t>Utility Worker(National) - SP</t>
  </si>
  <si>
    <t>FY 2023</t>
  </si>
  <si>
    <t>Arlene Laafal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</si>
</sst>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&quot;$&quot;#,##0"/>
    <numFmt numFmtId="168" formatCode="_(* #,##0_);_(* \(#,##0\);_(* &quot;-&quot;??_);_(@_)"/>
    <numFmt numFmtId="169" formatCode="_(* #,##0.0_);_(* \(#,##0.0\);_(* &quot;-&quot;?_);_(@_)"/>
  </numFmts>
  <fonts count="28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9"/>
      <name val="Arial Narrow"/>
      <family val="2"/>
    </font>
    <font>
      <sz val="10"/>
      <name val="Arial Narrow"/>
      <family val="2"/>
    </font>
    <font>
      <u val="singleAccounting"/>
      <sz val="11"/>
      <name val="Helvetica Neue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3" fontId="15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6" fillId="0" borderId="1" xfId="0" applyFont="1" applyBorder="1"/>
    <xf numFmtId="0" fontId="5" fillId="0" borderId="0" xfId="0" applyFont="1" applyBorder="1"/>
    <xf numFmtId="0" fontId="10" fillId="2" borderId="0" xfId="0" applyFont="1" applyFill="1"/>
    <xf numFmtId="0" fontId="10" fillId="2" borderId="0" xfId="0" applyFont="1" applyFill="1" applyBorder="1"/>
    <xf numFmtId="1" fontId="10" fillId="2" borderId="3" xfId="2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4" fillId="2" borderId="0" xfId="0" applyFont="1" applyFill="1"/>
    <xf numFmtId="0" fontId="10" fillId="2" borderId="3" xfId="0" applyFont="1" applyFill="1" applyBorder="1" applyAlignment="1">
      <alignment horizontal="centerContinuous"/>
    </xf>
    <xf numFmtId="164" fontId="10" fillId="2" borderId="3" xfId="2" applyNumberFormat="1" applyFont="1" applyFill="1" applyBorder="1" applyAlignment="1">
      <alignment horizontal="centerContinuous"/>
    </xf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/>
    <xf numFmtId="164" fontId="10" fillId="2" borderId="4" xfId="2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44" fontId="5" fillId="0" borderId="7" xfId="2" applyFont="1" applyBorder="1"/>
    <xf numFmtId="0" fontId="11" fillId="4" borderId="8" xfId="0" applyFont="1" applyFill="1" applyBorder="1"/>
    <xf numFmtId="0" fontId="5" fillId="0" borderId="8" xfId="0" applyFont="1" applyBorder="1"/>
    <xf numFmtId="0" fontId="4" fillId="0" borderId="9" xfId="0" applyFont="1" applyBorder="1"/>
    <xf numFmtId="43" fontId="5" fillId="0" borderId="11" xfId="1" applyFont="1" applyBorder="1"/>
    <xf numFmtId="43" fontId="5" fillId="0" borderId="0" xfId="0" applyNumberFormat="1" applyFont="1"/>
    <xf numFmtId="0" fontId="4" fillId="0" borderId="0" xfId="0" applyFont="1" applyBorder="1"/>
    <xf numFmtId="1" fontId="5" fillId="0" borderId="0" xfId="0" applyNumberFormat="1" applyFont="1" applyBorder="1"/>
    <xf numFmtId="0" fontId="5" fillId="2" borderId="0" xfId="0" applyFont="1" applyFill="1"/>
    <xf numFmtId="44" fontId="5" fillId="0" borderId="0" xfId="0" applyNumberFormat="1" applyFont="1"/>
    <xf numFmtId="44" fontId="5" fillId="0" borderId="9" xfId="0" applyNumberFormat="1" applyFont="1" applyBorder="1"/>
    <xf numFmtId="0" fontId="5" fillId="0" borderId="9" xfId="0" applyFont="1" applyBorder="1"/>
    <xf numFmtId="0" fontId="5" fillId="0" borderId="11" xfId="0" applyFont="1" applyBorder="1"/>
    <xf numFmtId="0" fontId="5" fillId="4" borderId="10" xfId="0" applyFont="1" applyFill="1" applyBorder="1"/>
    <xf numFmtId="9" fontId="6" fillId="0" borderId="0" xfId="3" applyFont="1"/>
    <xf numFmtId="9" fontId="4" fillId="0" borderId="0" xfId="3" applyFont="1"/>
    <xf numFmtId="9" fontId="5" fillId="0" borderId="0" xfId="3" applyFont="1"/>
    <xf numFmtId="0" fontId="5" fillId="2" borderId="12" xfId="0" applyFont="1" applyFill="1" applyBorder="1"/>
    <xf numFmtId="0" fontId="6" fillId="0" borderId="0" xfId="0" applyFont="1"/>
    <xf numFmtId="43" fontId="5" fillId="0" borderId="0" xfId="1" applyFont="1"/>
    <xf numFmtId="43" fontId="5" fillId="0" borderId="0" xfId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0" fontId="12" fillId="0" borderId="0" xfId="0" applyFont="1"/>
    <xf numFmtId="44" fontId="12" fillId="0" borderId="0" xfId="2" applyFont="1"/>
    <xf numFmtId="0" fontId="12" fillId="4" borderId="8" xfId="0" applyFont="1" applyFill="1" applyBorder="1"/>
    <xf numFmtId="0" fontId="4" fillId="0" borderId="13" xfId="0" applyFont="1" applyBorder="1"/>
    <xf numFmtId="43" fontId="5" fillId="0" borderId="14" xfId="0" applyNumberFormat="1" applyFont="1" applyBorder="1"/>
    <xf numFmtId="0" fontId="5" fillId="4" borderId="15" xfId="0" applyFont="1" applyFill="1" applyBorder="1"/>
    <xf numFmtId="0" fontId="5" fillId="0" borderId="15" xfId="0" applyFont="1" applyBorder="1"/>
    <xf numFmtId="43" fontId="5" fillId="0" borderId="14" xfId="1" applyFont="1" applyBorder="1"/>
    <xf numFmtId="0" fontId="5" fillId="0" borderId="14" xfId="0" applyFont="1" applyBorder="1"/>
    <xf numFmtId="44" fontId="5" fillId="0" borderId="13" xfId="0" applyNumberFormat="1" applyFont="1" applyBorder="1"/>
    <xf numFmtId="44" fontId="4" fillId="0" borderId="13" xfId="0" applyNumberFormat="1" applyFont="1" applyBorder="1"/>
    <xf numFmtId="43" fontId="5" fillId="0" borderId="1" xfId="1" applyFont="1" applyBorder="1"/>
    <xf numFmtId="43" fontId="10" fillId="2" borderId="3" xfId="1" applyFont="1" applyFill="1" applyBorder="1" applyAlignment="1">
      <alignment horizontal="centerContinuous"/>
    </xf>
    <xf numFmtId="43" fontId="10" fillId="2" borderId="6" xfId="1" applyFont="1" applyFill="1" applyBorder="1" applyAlignment="1">
      <alignment horizontal="center"/>
    </xf>
    <xf numFmtId="43" fontId="11" fillId="0" borderId="16" xfId="1" applyFont="1" applyBorder="1"/>
    <xf numFmtId="43" fontId="5" fillId="0" borderId="0" xfId="1" applyFont="1" applyBorder="1"/>
    <xf numFmtId="43" fontId="12" fillId="0" borderId="16" xfId="1" applyFont="1" applyBorder="1"/>
    <xf numFmtId="43" fontId="5" fillId="0" borderId="1" xfId="1" applyFont="1" applyFill="1" applyBorder="1"/>
    <xf numFmtId="43" fontId="10" fillId="2" borderId="3" xfId="1" applyFont="1" applyFill="1" applyBorder="1" applyAlignment="1">
      <alignment horizontal="left"/>
    </xf>
    <xf numFmtId="43" fontId="10" fillId="2" borderId="5" xfId="1" applyFont="1" applyFill="1" applyBorder="1" applyAlignment="1">
      <alignment horizontal="center"/>
    </xf>
    <xf numFmtId="43" fontId="5" fillId="0" borderId="13" xfId="0" applyNumberFormat="1" applyFont="1" applyBorder="1"/>
    <xf numFmtId="164" fontId="10" fillId="3" borderId="12" xfId="2" applyNumberFormat="1" applyFont="1" applyFill="1" applyBorder="1" applyAlignment="1">
      <alignment horizontal="center"/>
    </xf>
    <xf numFmtId="43" fontId="5" fillId="0" borderId="13" xfId="1" applyFont="1" applyBorder="1"/>
    <xf numFmtId="9" fontId="5" fillId="0" borderId="0" xfId="3" applyFont="1" applyBorder="1"/>
    <xf numFmtId="44" fontId="3" fillId="0" borderId="0" xfId="2" applyFont="1" applyBorder="1"/>
    <xf numFmtId="0" fontId="3" fillId="2" borderId="5" xfId="0" applyFont="1" applyFill="1" applyBorder="1"/>
    <xf numFmtId="44" fontId="14" fillId="2" borderId="12" xfId="2" applyFont="1" applyFill="1" applyBorder="1" applyAlignment="1">
      <alignment horizontal="center"/>
    </xf>
    <xf numFmtId="44" fontId="14" fillId="2" borderId="6" xfId="2" applyFont="1" applyFill="1" applyBorder="1" applyAlignment="1">
      <alignment horizontal="center"/>
    </xf>
    <xf numFmtId="0" fontId="14" fillId="2" borderId="17" xfId="0" applyFont="1" applyFill="1" applyBorder="1"/>
    <xf numFmtId="44" fontId="14" fillId="2" borderId="1" xfId="2" applyFont="1" applyFill="1" applyBorder="1" applyAlignment="1">
      <alignment horizontal="center"/>
    </xf>
    <xf numFmtId="44" fontId="14" fillId="2" borderId="18" xfId="2" applyFont="1" applyFill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5" fontId="3" fillId="0" borderId="2" xfId="2" applyNumberFormat="1" applyFont="1" applyBorder="1"/>
    <xf numFmtId="0" fontId="14" fillId="0" borderId="2" xfId="0" applyNumberFormat="1" applyFont="1" applyBorder="1" applyAlignment="1">
      <alignment horizontal="center"/>
    </xf>
    <xf numFmtId="0" fontId="14" fillId="0" borderId="2" xfId="0" applyFont="1" applyBorder="1"/>
    <xf numFmtId="43" fontId="12" fillId="0" borderId="0" xfId="1" applyFont="1"/>
    <xf numFmtId="44" fontId="5" fillId="0" borderId="0" xfId="2" applyFont="1"/>
    <xf numFmtId="0" fontId="4" fillId="2" borderId="0" xfId="0" applyFont="1" applyFill="1" applyAlignment="1"/>
    <xf numFmtId="14" fontId="12" fillId="0" borderId="0" xfId="0" applyNumberFormat="1" applyFont="1"/>
    <xf numFmtId="0" fontId="12" fillId="0" borderId="0" xfId="0" applyNumberFormat="1" applyFont="1" applyAlignment="1">
      <alignment horizontal="right"/>
    </xf>
    <xf numFmtId="43" fontId="12" fillId="0" borderId="0" xfId="1" applyFont="1" applyAlignment="1">
      <alignment horizontal="right"/>
    </xf>
    <xf numFmtId="0" fontId="4" fillId="5" borderId="1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12" fillId="0" borderId="0" xfId="2" applyFont="1" applyBorder="1"/>
    <xf numFmtId="44" fontId="5" fillId="0" borderId="0" xfId="2" applyFont="1" applyBorder="1"/>
    <xf numFmtId="44" fontId="12" fillId="6" borderId="0" xfId="2" applyFont="1" applyFill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8" xfId="0" applyFont="1" applyBorder="1"/>
    <xf numFmtId="0" fontId="0" fillId="0" borderId="8" xfId="0" applyBorder="1"/>
    <xf numFmtId="0" fontId="5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7" xfId="0" applyFont="1" applyBorder="1" applyAlignment="1">
      <alignment horizontal="left"/>
    </xf>
    <xf numFmtId="0" fontId="6" fillId="0" borderId="0" xfId="0" applyFont="1" applyFill="1" applyBorder="1"/>
    <xf numFmtId="167" fontId="3" fillId="0" borderId="2" xfId="2" applyNumberFormat="1" applyFont="1" applyBorder="1"/>
    <xf numFmtId="167" fontId="14" fillId="0" borderId="2" xfId="2" applyNumberFormat="1" applyFont="1" applyBorder="1"/>
    <xf numFmtId="167" fontId="3" fillId="0" borderId="2" xfId="1" applyNumberFormat="1" applyFont="1" applyBorder="1"/>
    <xf numFmtId="167" fontId="14" fillId="0" borderId="2" xfId="1" applyNumberFormat="1" applyFont="1" applyBorder="1"/>
    <xf numFmtId="44" fontId="0" fillId="0" borderId="0" xfId="0" applyNumberFormat="1"/>
    <xf numFmtId="164" fontId="0" fillId="0" borderId="0" xfId="0" applyNumberFormat="1"/>
    <xf numFmtId="0" fontId="5" fillId="0" borderId="23" xfId="0" applyFont="1" applyBorder="1" applyAlignment="1">
      <alignment horizontal="left" wrapText="1"/>
    </xf>
    <xf numFmtId="0" fontId="5" fillId="0" borderId="19" xfId="0" applyFont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5" borderId="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43" fontId="0" fillId="0" borderId="0" xfId="1" applyFont="1"/>
    <xf numFmtId="43" fontId="0" fillId="0" borderId="2" xfId="1" applyFont="1" applyBorder="1"/>
    <xf numFmtId="0" fontId="5" fillId="0" borderId="5" xfId="0" applyFont="1" applyBorder="1" applyAlignment="1">
      <alignment horizontal="left"/>
    </xf>
    <xf numFmtId="43" fontId="0" fillId="0" borderId="4" xfId="1" applyFont="1" applyBorder="1"/>
    <xf numFmtId="0" fontId="5" fillId="0" borderId="19" xfId="0" applyFont="1" applyFill="1" applyBorder="1" applyAlignment="1">
      <alignment horizontal="left" indent="6"/>
    </xf>
    <xf numFmtId="0" fontId="0" fillId="0" borderId="3" xfId="0" applyBorder="1"/>
    <xf numFmtId="0" fontId="5" fillId="0" borderId="19" xfId="0" applyFont="1" applyBorder="1" applyAlignment="1">
      <alignment vertical="top" wrapText="1"/>
    </xf>
    <xf numFmtId="0" fontId="0" fillId="0" borderId="3" xfId="0" applyBorder="1" applyAlignment="1">
      <alignment horizontal="left"/>
    </xf>
    <xf numFmtId="43" fontId="0" fillId="0" borderId="0" xfId="0" applyNumberFormat="1"/>
    <xf numFmtId="0" fontId="5" fillId="0" borderId="2" xfId="0" applyFont="1" applyBorder="1" applyAlignment="1">
      <alignment horizontal="left" indent="6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14" fontId="15" fillId="0" borderId="0" xfId="0" applyNumberFormat="1" applyFont="1"/>
    <xf numFmtId="0" fontId="15" fillId="0" borderId="0" xfId="0" applyNumberFormat="1" applyFont="1" applyAlignment="1">
      <alignment horizontal="right"/>
    </xf>
    <xf numFmtId="43" fontId="17" fillId="0" borderId="0" xfId="1" applyFont="1"/>
    <xf numFmtId="0" fontId="17" fillId="0" borderId="0" xfId="0" applyFont="1"/>
    <xf numFmtId="44" fontId="18" fillId="0" borderId="0" xfId="0" applyNumberFormat="1" applyFont="1"/>
    <xf numFmtId="0" fontId="18" fillId="0" borderId="0" xfId="0" applyFont="1"/>
    <xf numFmtId="0" fontId="5" fillId="0" borderId="0" xfId="0" applyFont="1" applyAlignment="1">
      <alignment horizontal="center"/>
    </xf>
    <xf numFmtId="43" fontId="12" fillId="0" borderId="0" xfId="2" applyNumberFormat="1" applyFont="1" applyBorder="1"/>
    <xf numFmtId="43" fontId="12" fillId="6" borderId="0" xfId="2" applyNumberFormat="1" applyFont="1" applyFill="1" applyBorder="1" applyAlignment="1">
      <alignment horizontal="right"/>
    </xf>
    <xf numFmtId="0" fontId="20" fillId="0" borderId="0" xfId="4"/>
    <xf numFmtId="0" fontId="21" fillId="0" borderId="0" xfId="4" applyFont="1" applyAlignment="1">
      <alignment horizontal="center"/>
    </xf>
    <xf numFmtId="0" fontId="21" fillId="0" borderId="0" xfId="4" applyFont="1" applyFill="1" applyAlignment="1">
      <alignment horizontal="center"/>
    </xf>
    <xf numFmtId="0" fontId="15" fillId="0" borderId="0" xfId="4" applyFont="1"/>
    <xf numFmtId="0" fontId="15" fillId="0" borderId="0" xfId="4" applyFont="1" applyBorder="1"/>
    <xf numFmtId="0" fontId="21" fillId="0" borderId="1" xfId="4" applyFont="1" applyFill="1" applyBorder="1" applyAlignment="1">
      <alignment horizontal="center"/>
    </xf>
    <xf numFmtId="0" fontId="21" fillId="0" borderId="0" xfId="4" applyFont="1"/>
    <xf numFmtId="0" fontId="15" fillId="0" borderId="0" xfId="4" applyFont="1" applyFill="1" applyBorder="1"/>
    <xf numFmtId="0" fontId="15" fillId="0" borderId="0" xfId="4" applyFont="1" applyBorder="1" applyAlignment="1">
      <alignment horizontal="left"/>
    </xf>
    <xf numFmtId="168" fontId="15" fillId="0" borderId="0" xfId="5" applyNumberFormat="1" applyFont="1" applyFill="1" applyBorder="1" applyAlignment="1">
      <alignment horizontal="right"/>
    </xf>
    <xf numFmtId="168" fontId="15" fillId="0" borderId="1" xfId="5" applyNumberFormat="1" applyFont="1" applyFill="1" applyBorder="1" applyAlignment="1">
      <alignment horizontal="right"/>
    </xf>
    <xf numFmtId="168" fontId="21" fillId="0" borderId="3" xfId="5" applyNumberFormat="1" applyFont="1" applyFill="1" applyBorder="1"/>
    <xf numFmtId="0" fontId="21" fillId="0" borderId="0" xfId="4" applyFont="1" applyBorder="1" applyAlignment="1">
      <alignment horizontal="left"/>
    </xf>
    <xf numFmtId="168" fontId="15" fillId="0" borderId="0" xfId="5" applyNumberFormat="1" applyFont="1" applyFill="1" applyBorder="1"/>
    <xf numFmtId="0" fontId="15" fillId="0" borderId="0" xfId="4" applyFont="1" applyFill="1" applyBorder="1" applyAlignment="1">
      <alignment horizontal="left"/>
    </xf>
    <xf numFmtId="168" fontId="15" fillId="0" borderId="0" xfId="5" applyNumberFormat="1" applyFont="1" applyFill="1"/>
    <xf numFmtId="0" fontId="22" fillId="0" borderId="0" xfId="4" applyFont="1"/>
    <xf numFmtId="168" fontId="15" fillId="0" borderId="1" xfId="5" applyNumberFormat="1" applyFont="1" applyFill="1" applyBorder="1"/>
    <xf numFmtId="0" fontId="21" fillId="0" borderId="0" xfId="4" applyFont="1" applyFill="1" applyBorder="1" applyAlignment="1">
      <alignment horizontal="left"/>
    </xf>
    <xf numFmtId="168" fontId="21" fillId="0" borderId="9" xfId="5" applyNumberFormat="1" applyFont="1" applyFill="1" applyBorder="1"/>
    <xf numFmtId="0" fontId="15" fillId="0" borderId="0" xfId="4" applyFont="1" applyFill="1"/>
    <xf numFmtId="0" fontId="20" fillId="0" borderId="0" xfId="4" applyBorder="1"/>
    <xf numFmtId="49" fontId="21" fillId="0" borderId="0" xfId="4" applyNumberFormat="1" applyFont="1" applyFill="1" applyAlignment="1">
      <alignment horizontal="left"/>
    </xf>
    <xf numFmtId="168" fontId="21" fillId="0" borderId="0" xfId="5" applyNumberFormat="1" applyFont="1" applyFill="1" applyBorder="1"/>
    <xf numFmtId="0" fontId="21" fillId="0" borderId="0" xfId="4" applyFont="1" applyFill="1"/>
    <xf numFmtId="49" fontId="15" fillId="0" borderId="0" xfId="4" applyNumberFormat="1" applyFont="1" applyFill="1"/>
    <xf numFmtId="0" fontId="20" fillId="0" borderId="0" xfId="4" applyFill="1" applyBorder="1"/>
    <xf numFmtId="0" fontId="20" fillId="0" borderId="0" xfId="4" applyFill="1"/>
    <xf numFmtId="49" fontId="21" fillId="0" borderId="0" xfId="4" quotePrefix="1" applyNumberFormat="1" applyFont="1" applyFill="1" applyAlignment="1">
      <alignment horizontal="left"/>
    </xf>
    <xf numFmtId="0" fontId="20" fillId="0" borderId="1" xfId="4" applyFill="1" applyBorder="1"/>
    <xf numFmtId="49" fontId="19" fillId="0" borderId="0" xfId="4" applyNumberFormat="1" applyFont="1"/>
    <xf numFmtId="0" fontId="24" fillId="0" borderId="0" xfId="0" applyFont="1" applyBorder="1"/>
    <xf numFmtId="0" fontId="24" fillId="0" borderId="0" xfId="0" applyFont="1" applyFill="1"/>
    <xf numFmtId="0" fontId="25" fillId="0" borderId="0" xfId="0" applyFont="1" applyBorder="1"/>
    <xf numFmtId="49" fontId="5" fillId="0" borderId="0" xfId="0" applyNumberFormat="1" applyFont="1" applyBorder="1" applyAlignment="1">
      <alignment horizontal="left" wrapText="1"/>
    </xf>
    <xf numFmtId="43" fontId="20" fillId="0" borderId="0" xfId="4" applyNumberFormat="1" applyBorder="1"/>
    <xf numFmtId="168" fontId="15" fillId="0" borderId="0" xfId="4" applyNumberFormat="1" applyFont="1"/>
    <xf numFmtId="43" fontId="15" fillId="0" borderId="0" xfId="1" applyFont="1" applyBorder="1"/>
    <xf numFmtId="168" fontId="20" fillId="0" borderId="0" xfId="4" applyNumberFormat="1"/>
    <xf numFmtId="43" fontId="5" fillId="0" borderId="0" xfId="0" applyNumberFormat="1" applyFont="1" applyFill="1"/>
    <xf numFmtId="44" fontId="16" fillId="0" borderId="0" xfId="0" applyNumberFormat="1" applyFont="1"/>
    <xf numFmtId="43" fontId="26" fillId="0" borderId="0" xfId="1" applyFont="1"/>
    <xf numFmtId="164" fontId="21" fillId="0" borderId="0" xfId="6" applyNumberFormat="1" applyFont="1" applyFill="1" applyBorder="1"/>
    <xf numFmtId="164" fontId="23" fillId="0" borderId="0" xfId="6" applyNumberFormat="1" applyFont="1" applyBorder="1"/>
    <xf numFmtId="169" fontId="20" fillId="0" borderId="0" xfId="4" applyNumberFormat="1"/>
    <xf numFmtId="164" fontId="20" fillId="0" borderId="0" xfId="4" applyNumberFormat="1"/>
    <xf numFmtId="44" fontId="20" fillId="0" borderId="0" xfId="4" applyNumberFormat="1"/>
    <xf numFmtId="0" fontId="27" fillId="0" borderId="0" xfId="0" applyFont="1" applyFill="1" applyAlignment="1">
      <alignment horizontal="center"/>
    </xf>
    <xf numFmtId="0" fontId="27" fillId="0" borderId="0" xfId="0" applyFont="1" applyFill="1"/>
    <xf numFmtId="44" fontId="27" fillId="0" borderId="0" xfId="2" applyFont="1" applyFill="1"/>
    <xf numFmtId="164" fontId="12" fillId="6" borderId="0" xfId="1" applyNumberFormat="1" applyFont="1" applyFill="1" applyBorder="1" applyAlignment="1">
      <alignment horizontal="right"/>
    </xf>
    <xf numFmtId="49" fontId="5" fillId="0" borderId="19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9" fontId="5" fillId="0" borderId="23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8" fillId="2" borderId="13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19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8" fillId="0" borderId="19" xfId="0" applyNumberFormat="1" applyFont="1" applyFill="1" applyBorder="1" applyAlignment="1">
      <alignment horizontal="center" vertical="top" wrapText="1"/>
    </xf>
    <xf numFmtId="0" fontId="18" fillId="0" borderId="3" xfId="0" applyNumberFormat="1" applyFont="1" applyFill="1" applyBorder="1" applyAlignment="1">
      <alignment horizontal="center" vertical="top" wrapText="1"/>
    </xf>
    <xf numFmtId="0" fontId="4" fillId="0" borderId="20" xfId="0" applyFont="1" applyBorder="1" applyAlignment="1">
      <alignment horizontal="left" indent="1"/>
    </xf>
    <xf numFmtId="0" fontId="5" fillId="0" borderId="2" xfId="0" applyFont="1" applyBorder="1" applyAlignment="1">
      <alignment horizontal="left" wrapText="1"/>
    </xf>
    <xf numFmtId="0" fontId="21" fillId="0" borderId="0" xfId="4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44" fontId="13" fillId="0" borderId="0" xfId="2" applyFont="1" applyBorder="1" applyAlignment="1">
      <alignment horizontal="left"/>
    </xf>
    <xf numFmtId="0" fontId="5" fillId="0" borderId="17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defaultRowHeight="15"/>
  <sheetData>
    <row r="1" spans="1:6" ht="20.25">
      <c r="A1" s="7" t="s">
        <v>57</v>
      </c>
      <c r="B1" s="6"/>
      <c r="C1" s="6"/>
      <c r="D1" s="6"/>
      <c r="E1" s="6"/>
      <c r="F1" s="6"/>
    </row>
    <row r="2" spans="1:6">
      <c r="A2" s="3" t="s">
        <v>21</v>
      </c>
      <c r="B2" s="4" t="s">
        <v>82</v>
      </c>
    </row>
    <row r="3" spans="1:6">
      <c r="A3" s="3"/>
    </row>
    <row r="4" spans="1:6">
      <c r="A4" s="3" t="s">
        <v>53</v>
      </c>
      <c r="B4" s="4" t="s">
        <v>54</v>
      </c>
    </row>
    <row r="5" spans="1:6">
      <c r="A5" s="3"/>
    </row>
    <row r="6" spans="1:6">
      <c r="A6" s="3" t="s">
        <v>69</v>
      </c>
      <c r="B6" s="4" t="s">
        <v>15</v>
      </c>
    </row>
    <row r="7" spans="1:6">
      <c r="A7" s="3"/>
    </row>
    <row r="8" spans="1:6">
      <c r="A8" s="3" t="s">
        <v>22</v>
      </c>
      <c r="B8" s="4" t="s">
        <v>83</v>
      </c>
    </row>
    <row r="9" spans="1:6">
      <c r="A9" s="3"/>
    </row>
    <row r="10" spans="1:6">
      <c r="A10" s="3" t="s">
        <v>23</v>
      </c>
      <c r="B10" s="4" t="s">
        <v>49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/>
  </sheetViews>
  <sheetFormatPr defaultRowHeight="15"/>
  <sheetData>
    <row r="1" spans="1:16">
      <c r="A1" t="s">
        <v>99</v>
      </c>
    </row>
    <row r="3" spans="1:16" ht="409.5">
      <c r="A3" s="124" t="s">
        <v>30</v>
      </c>
      <c r="B3" s="131"/>
      <c r="C3" s="210" t="s">
        <v>101</v>
      </c>
      <c r="D3" s="211"/>
      <c r="E3" s="211"/>
      <c r="F3" s="211"/>
      <c r="G3" s="211"/>
      <c r="H3" s="211"/>
      <c r="I3" s="211"/>
      <c r="J3" s="211"/>
      <c r="K3" s="211"/>
      <c r="L3" s="211"/>
      <c r="M3" s="212"/>
      <c r="N3" s="126" t="s">
        <v>48</v>
      </c>
    </row>
    <row r="4" spans="1:16" ht="157.5">
      <c r="A4" s="117" t="s">
        <v>28</v>
      </c>
      <c r="B4" s="118">
        <v>1</v>
      </c>
      <c r="C4" s="218" t="s">
        <v>150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126"/>
    </row>
    <row r="5" spans="1:16" ht="114">
      <c r="A5" s="119" t="s">
        <v>72</v>
      </c>
      <c r="B5" s="120">
        <v>1.1000000000000001</v>
      </c>
      <c r="C5" s="211" t="s">
        <v>151</v>
      </c>
      <c r="D5" s="211"/>
      <c r="E5" s="211"/>
      <c r="F5" s="211"/>
      <c r="G5" s="211"/>
      <c r="H5" s="211"/>
      <c r="I5" s="211"/>
      <c r="J5" s="211"/>
      <c r="K5" s="211"/>
      <c r="L5" s="211"/>
      <c r="M5" s="99"/>
      <c r="N5" s="126">
        <f>+'Activity Cost'!H5</f>
        <v>11455.240564</v>
      </c>
    </row>
    <row r="6" spans="1:16" ht="271.5">
      <c r="A6" s="107" t="s">
        <v>72</v>
      </c>
      <c r="B6" s="121">
        <v>1.2</v>
      </c>
      <c r="C6" s="199" t="s">
        <v>152</v>
      </c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126">
        <f>+'Activity Cost'!H6</f>
        <v>11455.240564</v>
      </c>
    </row>
    <row r="7" spans="1:16" ht="100.5">
      <c r="A7" s="107" t="s">
        <v>72</v>
      </c>
      <c r="B7" s="121">
        <v>1.3</v>
      </c>
      <c r="C7" s="202" t="s">
        <v>153</v>
      </c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126">
        <f>+'Activity Cost'!H7</f>
        <v>19166.964940000002</v>
      </c>
    </row>
    <row r="8" spans="1:16" ht="200.25">
      <c r="A8" s="107" t="s">
        <v>72</v>
      </c>
      <c r="B8" s="121">
        <v>1.4</v>
      </c>
      <c r="C8" s="199" t="s">
        <v>157</v>
      </c>
      <c r="D8" s="200"/>
      <c r="E8" s="200"/>
      <c r="F8" s="200"/>
      <c r="G8" s="200"/>
      <c r="H8" s="200"/>
      <c r="I8" s="200"/>
      <c r="J8" s="200"/>
      <c r="K8" s="200"/>
      <c r="L8" s="201"/>
      <c r="M8" s="182"/>
      <c r="N8" s="126">
        <f>+'Activity Cost'!H8</f>
        <v>22809.616995999997</v>
      </c>
      <c r="O8" s="133">
        <f>SUM(N5:N8)</f>
        <v>64887.063064000002</v>
      </c>
      <c r="P8" t="s">
        <v>103</v>
      </c>
    </row>
    <row r="9" spans="1:16" ht="100.5">
      <c r="A9" s="122" t="s">
        <v>31</v>
      </c>
      <c r="B9" s="116">
        <v>2</v>
      </c>
      <c r="C9" s="199" t="s">
        <v>100</v>
      </c>
      <c r="D9" s="200"/>
      <c r="E9" s="200"/>
      <c r="F9" s="200"/>
      <c r="G9" s="200"/>
      <c r="H9" s="200"/>
      <c r="I9" s="200"/>
      <c r="J9" s="200"/>
      <c r="K9" s="200"/>
      <c r="L9" s="200"/>
      <c r="M9" s="201"/>
      <c r="N9" s="126"/>
    </row>
    <row r="10" spans="1:16" ht="129">
      <c r="A10" s="107" t="s">
        <v>71</v>
      </c>
      <c r="B10" s="120">
        <v>2.1</v>
      </c>
      <c r="C10" s="203" t="s">
        <v>164</v>
      </c>
      <c r="D10" s="204"/>
      <c r="E10" s="204"/>
      <c r="F10" s="204"/>
      <c r="G10" s="204"/>
      <c r="H10" s="204"/>
      <c r="I10" s="204"/>
      <c r="J10" s="204"/>
      <c r="K10" s="204"/>
      <c r="L10" s="204"/>
      <c r="M10" s="205"/>
      <c r="N10" s="126">
        <f>+'Activity Cost'!H9</f>
        <v>17562.588508000001</v>
      </c>
    </row>
    <row r="11" spans="1:16" ht="57.75">
      <c r="A11" s="107" t="s">
        <v>71</v>
      </c>
      <c r="B11" s="121">
        <v>2.2000000000000002</v>
      </c>
      <c r="C11" s="223" t="s">
        <v>156</v>
      </c>
      <c r="D11" s="224"/>
      <c r="E11" s="224"/>
      <c r="F11" s="224"/>
      <c r="G11" s="224"/>
      <c r="H11" s="224"/>
      <c r="I11" s="224"/>
      <c r="J11" s="224"/>
      <c r="K11" s="224"/>
      <c r="L11" s="224"/>
      <c r="M11" s="225"/>
      <c r="N11" s="126">
        <f>+'Activity Cost'!H10</f>
        <v>23354.538103999999</v>
      </c>
      <c r="O11" s="133">
        <f>+N11+N10</f>
        <v>40917.126612</v>
      </c>
    </row>
    <row r="12" spans="1:16" ht="86.25">
      <c r="A12" s="123" t="s">
        <v>28</v>
      </c>
      <c r="B12" s="121">
        <v>3</v>
      </c>
      <c r="C12" s="203" t="s">
        <v>165</v>
      </c>
      <c r="D12" s="204"/>
      <c r="E12" s="204"/>
      <c r="F12" s="204"/>
      <c r="G12" s="204"/>
      <c r="H12" s="204"/>
      <c r="I12" s="204"/>
      <c r="J12" s="204"/>
      <c r="K12" s="204"/>
      <c r="L12" s="204"/>
      <c r="M12" s="205"/>
      <c r="N12" s="126"/>
    </row>
    <row r="13" spans="1:16" ht="171.75">
      <c r="A13" s="107" t="s">
        <v>71</v>
      </c>
      <c r="B13" s="121">
        <v>3.1</v>
      </c>
      <c r="C13" s="199" t="s">
        <v>159</v>
      </c>
      <c r="D13" s="200"/>
      <c r="E13" s="200"/>
      <c r="F13" s="200"/>
      <c r="G13" s="200"/>
      <c r="H13" s="200"/>
      <c r="I13" s="200"/>
      <c r="J13" s="200"/>
      <c r="K13" s="200"/>
      <c r="L13" s="200"/>
      <c r="M13" s="201"/>
      <c r="N13" s="126">
        <f>+'Activity Cost'!H11</f>
        <v>5252.9715120000001</v>
      </c>
    </row>
    <row r="14" spans="1:16" ht="114.75">
      <c r="A14" s="107" t="s">
        <v>71</v>
      </c>
      <c r="B14" s="121">
        <v>3.2</v>
      </c>
      <c r="C14" s="203" t="s">
        <v>160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5"/>
      <c r="N14" s="126">
        <f>+'Activity Cost'!H12</f>
        <v>11252.971512</v>
      </c>
    </row>
    <row r="15" spans="1:16" ht="143.25">
      <c r="A15" s="107" t="s">
        <v>71</v>
      </c>
      <c r="B15" s="127">
        <v>3.3</v>
      </c>
      <c r="C15" s="199" t="s">
        <v>166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1"/>
      <c r="N15" s="128">
        <f>+'Activity Cost'!H13</f>
        <v>2749.2975399999996</v>
      </c>
      <c r="O15" s="133">
        <f>SUM(N13:N15)</f>
        <v>19255.240564</v>
      </c>
      <c r="P15" t="s">
        <v>104</v>
      </c>
    </row>
    <row r="16" spans="1:16">
      <c r="A16" s="129" t="s">
        <v>20</v>
      </c>
      <c r="B16" s="132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26">
        <f>SUM(N5:N15)</f>
        <v>125059.43024000002</v>
      </c>
    </row>
    <row r="17" spans="14:14">
      <c r="N17" s="125">
        <f>+N16-'line item'!F23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7"/>
  <sheetViews>
    <sheetView workbookViewId="0"/>
  </sheetViews>
  <sheetFormatPr defaultRowHeight="15"/>
  <sheetData>
    <row r="2" spans="1:14" ht="20.25">
      <c r="A2" s="206" t="s">
        <v>42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7"/>
      <c r="N2" s="101"/>
    </row>
    <row r="3" spans="1:14">
      <c r="A3" s="208" t="s">
        <v>81</v>
      </c>
      <c r="B3" s="209"/>
      <c r="C3" s="217" t="s">
        <v>147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100"/>
    </row>
    <row r="4" spans="1:14" ht="216.75">
      <c r="A4" s="213" t="s">
        <v>80</v>
      </c>
      <c r="B4" s="214"/>
      <c r="C4" s="215" t="s">
        <v>148</v>
      </c>
      <c r="D4" s="216"/>
      <c r="E4" s="216"/>
      <c r="F4" s="216"/>
      <c r="G4" s="216"/>
      <c r="H4" s="216"/>
      <c r="I4" s="216"/>
      <c r="J4" s="216"/>
      <c r="K4" s="216"/>
      <c r="L4" s="216"/>
      <c r="M4" s="115"/>
      <c r="N4" s="100"/>
    </row>
    <row r="5" spans="1:14" ht="256.5">
      <c r="A5" s="102" t="s">
        <v>30</v>
      </c>
      <c r="B5" s="103">
        <v>1</v>
      </c>
      <c r="C5" s="210" t="s">
        <v>149</v>
      </c>
      <c r="D5" s="211"/>
      <c r="E5" s="211"/>
      <c r="F5" s="211"/>
      <c r="G5" s="211"/>
      <c r="H5" s="211"/>
      <c r="I5" s="211"/>
      <c r="J5" s="211"/>
      <c r="K5" s="211"/>
      <c r="L5" s="212"/>
      <c r="M5" s="99"/>
      <c r="N5" s="8"/>
    </row>
    <row r="6" spans="1:14" ht="157.5">
      <c r="A6" s="104" t="s">
        <v>28</v>
      </c>
      <c r="B6" s="105">
        <v>1</v>
      </c>
      <c r="C6" s="218" t="s">
        <v>150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100"/>
    </row>
    <row r="7" spans="1:14" ht="114">
      <c r="A7" s="9" t="s">
        <v>72</v>
      </c>
      <c r="B7" s="9">
        <v>1.1000000000000001</v>
      </c>
      <c r="C7" s="211" t="s">
        <v>151</v>
      </c>
      <c r="D7" s="211"/>
      <c r="E7" s="211"/>
      <c r="F7" s="211"/>
      <c r="G7" s="211"/>
      <c r="H7" s="211"/>
      <c r="I7" s="211"/>
      <c r="J7" s="211"/>
      <c r="K7" s="211"/>
      <c r="L7" s="211"/>
      <c r="M7" s="99"/>
      <c r="N7" s="100"/>
    </row>
    <row r="8" spans="1:14" ht="271.5">
      <c r="A8" s="9" t="s">
        <v>72</v>
      </c>
      <c r="B8" s="98">
        <v>1.2</v>
      </c>
      <c r="C8" s="199" t="s">
        <v>152</v>
      </c>
      <c r="D8" s="200"/>
      <c r="E8" s="200"/>
      <c r="F8" s="200"/>
      <c r="G8" s="200"/>
      <c r="H8" s="200"/>
      <c r="I8" s="200"/>
      <c r="J8" s="200"/>
      <c r="K8" s="200"/>
      <c r="L8" s="200"/>
      <c r="M8" s="201"/>
      <c r="N8" s="100"/>
    </row>
    <row r="9" spans="1:14" ht="100.5">
      <c r="A9" s="9" t="s">
        <v>72</v>
      </c>
      <c r="B9" s="98">
        <v>1.3</v>
      </c>
      <c r="C9" s="202" t="s">
        <v>153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100"/>
    </row>
    <row r="10" spans="1:14" ht="200.25">
      <c r="A10" s="9" t="s">
        <v>72</v>
      </c>
      <c r="B10" s="98">
        <v>1.4</v>
      </c>
      <c r="C10" s="199" t="s">
        <v>157</v>
      </c>
      <c r="D10" s="200"/>
      <c r="E10" s="200"/>
      <c r="F10" s="200"/>
      <c r="G10" s="200"/>
      <c r="H10" s="200"/>
      <c r="I10" s="200"/>
      <c r="J10" s="200"/>
      <c r="K10" s="200"/>
      <c r="L10" s="201"/>
      <c r="M10" s="182"/>
      <c r="N10" s="100"/>
    </row>
    <row r="11" spans="1:14" ht="114.75">
      <c r="A11" s="134" t="s">
        <v>27</v>
      </c>
      <c r="B11" s="98">
        <v>1</v>
      </c>
      <c r="C11" s="203" t="s">
        <v>154</v>
      </c>
      <c r="D11" s="204"/>
      <c r="E11" s="204"/>
      <c r="F11" s="204"/>
      <c r="G11" s="204"/>
      <c r="H11" s="204"/>
      <c r="I11" s="204"/>
      <c r="J11" s="204"/>
      <c r="K11" s="204"/>
      <c r="L11" s="205"/>
      <c r="M11" s="99"/>
      <c r="N11" s="100"/>
    </row>
    <row r="12" spans="1:14" ht="100.5">
      <c r="A12" s="135" t="s">
        <v>31</v>
      </c>
      <c r="B12" s="103">
        <v>2</v>
      </c>
      <c r="C12" s="199" t="s">
        <v>100</v>
      </c>
      <c r="D12" s="200"/>
      <c r="E12" s="200"/>
      <c r="F12" s="200"/>
      <c r="G12" s="200"/>
      <c r="H12" s="200"/>
      <c r="I12" s="200"/>
      <c r="J12" s="200"/>
      <c r="K12" s="200"/>
      <c r="L12" s="200"/>
      <c r="M12" s="201"/>
      <c r="N12" s="100"/>
    </row>
    <row r="13" spans="1:14" ht="129">
      <c r="A13" s="120" t="s">
        <v>71</v>
      </c>
      <c r="B13" s="9">
        <v>2.1</v>
      </c>
      <c r="C13" s="203" t="s">
        <v>155</v>
      </c>
      <c r="D13" s="204"/>
      <c r="E13" s="204"/>
      <c r="F13" s="204"/>
      <c r="G13" s="204"/>
      <c r="H13" s="204"/>
      <c r="I13" s="204"/>
      <c r="J13" s="204"/>
      <c r="K13" s="204"/>
      <c r="L13" s="204"/>
      <c r="M13" s="99"/>
      <c r="N13" s="100"/>
    </row>
    <row r="14" spans="1:14" ht="57.75">
      <c r="A14" s="120" t="s">
        <v>71</v>
      </c>
      <c r="B14" s="98">
        <v>2.2000000000000002</v>
      </c>
      <c r="C14" s="203" t="s">
        <v>156</v>
      </c>
      <c r="D14" s="204"/>
      <c r="E14" s="204"/>
      <c r="F14" s="204"/>
      <c r="G14" s="204"/>
      <c r="H14" s="204"/>
      <c r="I14" s="204"/>
      <c r="J14" s="204"/>
      <c r="K14" s="204"/>
      <c r="L14" s="205"/>
      <c r="M14" s="99"/>
      <c r="N14" s="100"/>
    </row>
    <row r="15" spans="1:14">
      <c r="A15" s="120" t="s">
        <v>71</v>
      </c>
      <c r="B15" s="98">
        <v>2.2999999999999998</v>
      </c>
      <c r="C15" s="203"/>
      <c r="D15" s="204"/>
      <c r="E15" s="204"/>
      <c r="F15" s="204"/>
      <c r="G15" s="204"/>
      <c r="H15" s="204"/>
      <c r="I15" s="204"/>
      <c r="J15" s="204"/>
      <c r="K15" s="204"/>
      <c r="L15" s="205"/>
      <c r="M15" s="99"/>
      <c r="N15" s="100"/>
    </row>
    <row r="16" spans="1:14" ht="72">
      <c r="A16" s="134" t="s">
        <v>29</v>
      </c>
      <c r="B16" s="98">
        <v>2</v>
      </c>
      <c r="C16" s="202" t="s">
        <v>158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100"/>
    </row>
    <row r="17" spans="1:14" ht="72">
      <c r="A17" s="136" t="s">
        <v>28</v>
      </c>
      <c r="B17" s="98">
        <v>3</v>
      </c>
      <c r="C17" s="203" t="s">
        <v>161</v>
      </c>
      <c r="D17" s="204"/>
      <c r="E17" s="204"/>
      <c r="F17" s="204"/>
      <c r="G17" s="204"/>
      <c r="H17" s="204"/>
      <c r="I17" s="204"/>
      <c r="J17" s="204"/>
      <c r="K17" s="204"/>
      <c r="L17" s="205"/>
      <c r="M17" s="99"/>
      <c r="N17" s="100"/>
    </row>
    <row r="18" spans="1:14" ht="171.75">
      <c r="A18" s="120" t="s">
        <v>71</v>
      </c>
      <c r="B18" s="98">
        <v>3.1</v>
      </c>
      <c r="C18" s="199" t="s">
        <v>159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1"/>
      <c r="N18" s="100"/>
    </row>
    <row r="19" spans="1:14" ht="114.75">
      <c r="A19" s="120" t="s">
        <v>71</v>
      </c>
      <c r="B19" s="98">
        <v>3.2</v>
      </c>
      <c r="C19" s="203" t="s">
        <v>160</v>
      </c>
      <c r="D19" s="204"/>
      <c r="E19" s="204"/>
      <c r="F19" s="204"/>
      <c r="G19" s="204"/>
      <c r="H19" s="204"/>
      <c r="I19" s="204"/>
      <c r="J19" s="204"/>
      <c r="K19" s="204"/>
      <c r="L19" s="205"/>
      <c r="M19" s="99"/>
      <c r="N19" s="100"/>
    </row>
    <row r="20" spans="1:14" ht="143.25">
      <c r="A20" s="120" t="s">
        <v>71</v>
      </c>
      <c r="B20" s="98">
        <v>3.3</v>
      </c>
      <c r="C20" s="199" t="s">
        <v>102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1"/>
      <c r="N20" s="100"/>
    </row>
    <row r="21" spans="1:14" ht="72">
      <c r="A21" s="134" t="s">
        <v>29</v>
      </c>
      <c r="B21" s="98">
        <v>3</v>
      </c>
      <c r="C21" s="202" t="s">
        <v>162</v>
      </c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100"/>
    </row>
    <row r="22" spans="1:14">
      <c r="N22" s="8"/>
    </row>
    <row r="23" spans="1:14">
      <c r="N23" s="8"/>
    </row>
    <row r="24" spans="1:14">
      <c r="N24" s="8"/>
    </row>
    <row r="25" spans="1:14">
      <c r="N25" s="8"/>
    </row>
    <row r="26" spans="1:14">
      <c r="N26" s="8"/>
    </row>
    <row r="27" spans="1:14">
      <c r="N27" s="8"/>
    </row>
    <row r="28" spans="1:14">
      <c r="N28" s="8"/>
    </row>
    <row r="29" spans="1:14">
      <c r="N29" s="8"/>
    </row>
    <row r="30" spans="1:14">
      <c r="N30" s="8"/>
    </row>
    <row r="31" spans="1:14">
      <c r="N31" s="8"/>
    </row>
    <row r="32" spans="1:14">
      <c r="N32" s="8"/>
    </row>
    <row r="33" spans="14:14">
      <c r="N33" s="8"/>
    </row>
    <row r="34" spans="14:14">
      <c r="N34" s="8"/>
    </row>
    <row r="35" spans="14:14">
      <c r="N35" s="8"/>
    </row>
    <row r="36" spans="14:14">
      <c r="N36" s="8"/>
    </row>
    <row r="37" spans="14:14">
      <c r="N37" s="8"/>
    </row>
    <row r="38" spans="14:14">
      <c r="N38" s="8"/>
    </row>
    <row r="39" spans="14:14">
      <c r="N39" s="8"/>
    </row>
    <row r="40" spans="14:14">
      <c r="N40" s="8"/>
    </row>
    <row r="41" spans="14:14">
      <c r="N41" s="8"/>
    </row>
    <row r="42" spans="14:14">
      <c r="N42" s="8"/>
    </row>
    <row r="43" spans="14:14">
      <c r="N43" s="8"/>
    </row>
    <row r="44" spans="14:14">
      <c r="N44" s="8"/>
    </row>
    <row r="45" spans="14:14">
      <c r="N45" s="8"/>
    </row>
    <row r="46" spans="14:14">
      <c r="N46" s="8"/>
    </row>
    <row r="47" spans="14:14">
      <c r="N47" s="8"/>
    </row>
    <row r="48" spans="14:14">
      <c r="N48" s="8"/>
    </row>
    <row r="49" spans="14:14">
      <c r="N49" s="8"/>
    </row>
    <row r="50" spans="14:14">
      <c r="N50" s="8"/>
    </row>
    <row r="51" spans="14:14">
      <c r="N51" s="8"/>
    </row>
    <row r="52" spans="14:14">
      <c r="N52" s="8"/>
    </row>
    <row r="53" spans="14:14">
      <c r="N53" s="8"/>
    </row>
    <row r="54" spans="14:14">
      <c r="N54" s="8"/>
    </row>
    <row r="55" spans="14:14">
      <c r="N55" s="8"/>
    </row>
    <row r="56" spans="14:14">
      <c r="N56" s="8"/>
    </row>
    <row r="57" spans="14:14">
      <c r="N57" s="8"/>
    </row>
    <row r="58" spans="14:14">
      <c r="N58" s="8"/>
    </row>
    <row r="59" spans="14:14">
      <c r="N59" s="8"/>
    </row>
    <row r="60" spans="14:14">
      <c r="N60" s="8"/>
    </row>
    <row r="61" spans="14:14">
      <c r="N61" s="8"/>
    </row>
    <row r="62" spans="14:14">
      <c r="N62" s="8"/>
    </row>
    <row r="63" spans="14:14">
      <c r="N63" s="8"/>
    </row>
    <row r="64" spans="14:14">
      <c r="N64" s="8"/>
    </row>
    <row r="65" spans="14:14">
      <c r="N65" s="8"/>
    </row>
    <row r="66" spans="14:14">
      <c r="N66" s="8"/>
    </row>
    <row r="67" spans="14:14">
      <c r="N67" s="8"/>
    </row>
    <row r="68" spans="14:14">
      <c r="N68" s="8"/>
    </row>
    <row r="69" spans="14:14">
      <c r="N69" s="8"/>
    </row>
    <row r="70" spans="14:14">
      <c r="N70" s="8"/>
    </row>
    <row r="71" spans="14:14">
      <c r="N71" s="8"/>
    </row>
    <row r="72" spans="14:14">
      <c r="N72" s="8"/>
    </row>
    <row r="73" spans="14:14">
      <c r="N73" s="8"/>
    </row>
    <row r="74" spans="14:14">
      <c r="N74" s="8"/>
    </row>
    <row r="75" spans="14:14">
      <c r="N75" s="8"/>
    </row>
    <row r="76" spans="14:14">
      <c r="N76" s="8"/>
    </row>
    <row r="77" spans="14:14">
      <c r="N77" s="8"/>
    </row>
    <row r="78" spans="14:14">
      <c r="N78" s="8"/>
    </row>
    <row r="79" spans="14:14">
      <c r="N79" s="8"/>
    </row>
    <row r="80" spans="14:14">
      <c r="N80" s="8"/>
    </row>
    <row r="81" spans="14:14">
      <c r="N81" s="8"/>
    </row>
    <row r="82" spans="14:14">
      <c r="N82" s="8"/>
    </row>
    <row r="83" spans="14:14">
      <c r="N83" s="8"/>
    </row>
    <row r="84" spans="14:14">
      <c r="N84" s="8"/>
    </row>
    <row r="85" spans="14:14">
      <c r="N85" s="8"/>
    </row>
    <row r="86" spans="14:14">
      <c r="N86" s="8"/>
    </row>
    <row r="87" spans="14:14">
      <c r="N87" s="8"/>
    </row>
    <row r="88" spans="14:14">
      <c r="N88" s="8"/>
    </row>
    <row r="89" spans="14:14">
      <c r="N89" s="8"/>
    </row>
    <row r="90" spans="14:14">
      <c r="N90" s="8"/>
    </row>
    <row r="91" spans="14:14">
      <c r="N91" s="8"/>
    </row>
    <row r="92" spans="14:14">
      <c r="N92" s="8"/>
    </row>
    <row r="93" spans="14:14">
      <c r="N93" s="8"/>
    </row>
    <row r="94" spans="14:14">
      <c r="N94" s="8"/>
    </row>
    <row r="95" spans="14:14">
      <c r="N95" s="8"/>
    </row>
    <row r="96" spans="14:14">
      <c r="N96" s="8"/>
    </row>
    <row r="97" spans="14:14">
      <c r="N9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/>
  </sheetViews>
  <sheetFormatPr defaultRowHeight="15"/>
  <sheetData>
    <row r="1" spans="1:9">
      <c r="A1" s="219" t="s">
        <v>108</v>
      </c>
      <c r="B1" s="219"/>
      <c r="C1" s="219"/>
      <c r="D1" s="219"/>
      <c r="E1" s="219"/>
    </row>
    <row r="2" spans="1:9">
      <c r="A2" s="219" t="s">
        <v>109</v>
      </c>
      <c r="B2" s="219"/>
      <c r="C2" s="219"/>
      <c r="D2" s="219"/>
      <c r="E2" s="219"/>
    </row>
    <row r="3" spans="1:9">
      <c r="A3" s="219" t="s">
        <v>110</v>
      </c>
      <c r="B3" s="219"/>
      <c r="C3" s="219"/>
      <c r="D3" s="219"/>
      <c r="E3" s="219"/>
    </row>
    <row r="4" spans="1:9">
      <c r="A4" s="219" t="s">
        <v>192</v>
      </c>
      <c r="B4" s="219"/>
      <c r="C4" s="219"/>
      <c r="D4" s="219"/>
      <c r="E4" s="219"/>
    </row>
    <row r="5" spans="1:9">
      <c r="A5" s="149"/>
      <c r="B5" s="149"/>
      <c r="C5" s="150"/>
      <c r="D5" s="149"/>
      <c r="E5" s="149"/>
    </row>
    <row r="6" spans="1:9">
      <c r="A6" s="151"/>
      <c r="B6" s="152"/>
      <c r="D6" s="151"/>
      <c r="E6" s="153" t="s">
        <v>184</v>
      </c>
      <c r="F6" s="169"/>
      <c r="G6" s="153" t="s">
        <v>196</v>
      </c>
      <c r="H6" s="151"/>
    </row>
    <row r="7" spans="1:9">
      <c r="A7" s="154" t="s">
        <v>111</v>
      </c>
      <c r="B7" s="152"/>
      <c r="D7" s="151"/>
      <c r="E7" s="155"/>
      <c r="F7" s="169"/>
      <c r="G7" s="155"/>
      <c r="H7" s="151"/>
    </row>
    <row r="8" spans="1:9">
      <c r="A8" s="151"/>
      <c r="B8" s="156" t="s">
        <v>112</v>
      </c>
      <c r="D8" s="151"/>
      <c r="E8" s="157">
        <v>1243750</v>
      </c>
      <c r="F8" s="169"/>
      <c r="G8" s="157">
        <f>G51</f>
        <v>1131250</v>
      </c>
      <c r="H8" s="151"/>
    </row>
    <row r="9" spans="1:9">
      <c r="A9" s="151"/>
      <c r="B9" s="156" t="s">
        <v>113</v>
      </c>
      <c r="D9" s="151"/>
      <c r="E9" s="158">
        <v>1045625</v>
      </c>
      <c r="F9" s="183"/>
      <c r="G9" s="158">
        <f>H51</f>
        <v>955625</v>
      </c>
      <c r="H9" s="151"/>
    </row>
    <row r="10" spans="1:9">
      <c r="A10" s="151"/>
      <c r="B10" s="156" t="s">
        <v>114</v>
      </c>
      <c r="D10" s="151"/>
      <c r="E10" s="159">
        <v>198125</v>
      </c>
      <c r="F10" s="169"/>
      <c r="G10" s="159">
        <f>SUM(G8-G9)</f>
        <v>175625</v>
      </c>
      <c r="H10" s="151"/>
    </row>
    <row r="11" spans="1:9">
      <c r="A11" s="151"/>
      <c r="B11" s="160"/>
      <c r="D11" s="151"/>
      <c r="E11" s="161"/>
      <c r="F11" s="169"/>
      <c r="G11" s="161"/>
      <c r="H11" s="151"/>
    </row>
    <row r="12" spans="1:9">
      <c r="A12" s="160" t="s">
        <v>115</v>
      </c>
      <c r="B12" s="151"/>
      <c r="D12" s="151"/>
      <c r="E12" s="161"/>
      <c r="F12" s="169"/>
      <c r="G12" s="161"/>
      <c r="H12" s="151"/>
    </row>
    <row r="13" spans="1:9">
      <c r="A13" s="151"/>
      <c r="B13" s="162" t="s">
        <v>116</v>
      </c>
      <c r="D13" s="151"/>
      <c r="E13" s="163">
        <v>82392.262387351453</v>
      </c>
      <c r="F13" s="169"/>
      <c r="G13" s="163">
        <f>+'line item'!F6</f>
        <v>71562</v>
      </c>
      <c r="H13" s="151"/>
      <c r="I13" s="186">
        <f>+G13-E13</f>
        <v>-10830.262387351453</v>
      </c>
    </row>
    <row r="14" spans="1:9">
      <c r="A14" s="151"/>
      <c r="B14" s="162" t="s">
        <v>44</v>
      </c>
      <c r="D14" s="151"/>
      <c r="E14" s="163">
        <v>6179.4196790513588</v>
      </c>
      <c r="F14" s="169"/>
      <c r="G14" s="163">
        <f>+'line item'!F7</f>
        <v>5367.15</v>
      </c>
      <c r="H14" s="151"/>
      <c r="I14" s="186">
        <f t="shared" ref="I14:I26" si="0">+G14-E14</f>
        <v>-812.26967905135916</v>
      </c>
    </row>
    <row r="15" spans="1:9">
      <c r="A15" s="151"/>
      <c r="B15" s="162" t="s">
        <v>18</v>
      </c>
      <c r="D15" s="151"/>
      <c r="E15" s="163">
        <v>3308.3599999999997</v>
      </c>
      <c r="F15" s="169"/>
      <c r="G15" s="163">
        <f>+'line item'!F8</f>
        <v>3949.3599999999997</v>
      </c>
      <c r="H15" s="151"/>
      <c r="I15" s="186">
        <f t="shared" si="0"/>
        <v>641</v>
      </c>
    </row>
    <row r="16" spans="1:9">
      <c r="A16" s="151"/>
      <c r="B16" s="162" t="s">
        <v>97</v>
      </c>
      <c r="D16" s="151"/>
      <c r="E16" s="163">
        <v>1106.27738</v>
      </c>
      <c r="F16" s="169"/>
      <c r="G16" s="163">
        <f>+'line item'!F9</f>
        <v>1177.2602400000001</v>
      </c>
      <c r="H16" s="151"/>
      <c r="I16" s="186">
        <f t="shared" si="0"/>
        <v>70.982860000000073</v>
      </c>
    </row>
    <row r="17" spans="1:10">
      <c r="A17" s="151"/>
      <c r="B17" s="162" t="s">
        <v>16</v>
      </c>
      <c r="D17" s="151"/>
      <c r="E17" s="163">
        <v>1685.5278716205435</v>
      </c>
      <c r="F17" s="169"/>
      <c r="G17" s="163">
        <f>+'line item'!F10</f>
        <v>1803.6599999999999</v>
      </c>
      <c r="H17" s="151"/>
      <c r="I17" s="186">
        <f t="shared" si="0"/>
        <v>118.13212837945639</v>
      </c>
    </row>
    <row r="18" spans="1:10">
      <c r="A18" s="151"/>
      <c r="B18" s="162" t="s">
        <v>17</v>
      </c>
      <c r="D18" s="151"/>
      <c r="E18" s="163">
        <v>7200</v>
      </c>
      <c r="F18" s="169"/>
      <c r="G18" s="163">
        <f>+'line item'!F11</f>
        <v>7200</v>
      </c>
      <c r="H18" s="151"/>
      <c r="I18" s="186">
        <f t="shared" si="0"/>
        <v>0</v>
      </c>
    </row>
    <row r="19" spans="1:10">
      <c r="A19" s="164"/>
      <c r="B19" s="156" t="s">
        <v>117</v>
      </c>
      <c r="D19" s="151"/>
      <c r="E19" s="163">
        <v>7000</v>
      </c>
      <c r="F19" s="169"/>
      <c r="G19" s="163">
        <f>+'line item'!F18</f>
        <v>7000</v>
      </c>
      <c r="H19" s="151"/>
      <c r="I19" s="186">
        <f t="shared" si="0"/>
        <v>0</v>
      </c>
    </row>
    <row r="20" spans="1:10">
      <c r="A20" s="164"/>
      <c r="B20" s="156" t="s">
        <v>118</v>
      </c>
      <c r="D20" s="151"/>
      <c r="E20" s="163">
        <v>500</v>
      </c>
      <c r="F20" s="169"/>
      <c r="G20" s="163">
        <f>+'line item'!F16</f>
        <v>500</v>
      </c>
      <c r="H20" s="151"/>
      <c r="I20" s="186">
        <f t="shared" si="0"/>
        <v>0</v>
      </c>
    </row>
    <row r="21" spans="1:10">
      <c r="A21" s="164"/>
      <c r="B21" s="156" t="s">
        <v>119</v>
      </c>
      <c r="D21" s="151"/>
      <c r="E21" s="163">
        <v>500</v>
      </c>
      <c r="F21" s="169"/>
      <c r="G21" s="163">
        <f>+'line item'!F19</f>
        <v>500</v>
      </c>
      <c r="H21" s="151"/>
      <c r="I21" s="186">
        <f t="shared" si="0"/>
        <v>0</v>
      </c>
    </row>
    <row r="22" spans="1:10">
      <c r="A22" s="164"/>
      <c r="B22" s="162" t="s">
        <v>186</v>
      </c>
      <c r="E22" s="163">
        <v>3000</v>
      </c>
      <c r="F22" s="169"/>
      <c r="G22" s="163">
        <f>+'line item'!F20</f>
        <v>5000</v>
      </c>
      <c r="I22" s="186">
        <f t="shared" si="0"/>
        <v>2000</v>
      </c>
      <c r="J22" s="148">
        <v>3000</v>
      </c>
    </row>
    <row r="23" spans="1:10">
      <c r="A23" s="164"/>
      <c r="B23" s="156" t="s">
        <v>120</v>
      </c>
      <c r="D23" s="151"/>
      <c r="E23" s="163">
        <v>0</v>
      </c>
      <c r="F23" s="169"/>
      <c r="G23" s="163">
        <f>+'5.Budget_Items'!B19</f>
        <v>0</v>
      </c>
      <c r="H23" s="151"/>
      <c r="I23" s="186">
        <f t="shared" si="0"/>
        <v>0</v>
      </c>
    </row>
    <row r="24" spans="1:10">
      <c r="A24" s="164"/>
      <c r="B24" s="156" t="s">
        <v>121</v>
      </c>
      <c r="D24" s="151"/>
      <c r="E24" s="163">
        <v>15000</v>
      </c>
      <c r="F24" s="169"/>
      <c r="G24" s="163">
        <f>+'5.Budget_Items'!B17+'5.Budget_Items'!B18</f>
        <v>0</v>
      </c>
      <c r="H24" s="151"/>
      <c r="I24" s="186">
        <f t="shared" si="0"/>
        <v>-15000</v>
      </c>
    </row>
    <row r="25" spans="1:10">
      <c r="A25" s="164"/>
      <c r="B25" s="156" t="s">
        <v>187</v>
      </c>
      <c r="D25" s="151"/>
      <c r="E25" s="163">
        <v>10000</v>
      </c>
      <c r="F25" s="169"/>
      <c r="G25" s="163">
        <v>10000</v>
      </c>
      <c r="H25" s="151"/>
      <c r="I25" s="186">
        <f t="shared" si="0"/>
        <v>0</v>
      </c>
    </row>
    <row r="26" spans="1:10">
      <c r="A26" s="164"/>
      <c r="B26" s="156" t="s">
        <v>122</v>
      </c>
      <c r="D26" s="151"/>
      <c r="E26" s="165">
        <v>10000</v>
      </c>
      <c r="F26" s="169"/>
      <c r="G26" s="165">
        <v>10000</v>
      </c>
      <c r="H26" s="151"/>
      <c r="I26" s="186">
        <f t="shared" si="0"/>
        <v>0</v>
      </c>
    </row>
    <row r="27" spans="1:10">
      <c r="A27" s="164"/>
      <c r="B27" s="152"/>
      <c r="D27" s="151"/>
      <c r="E27" s="159">
        <f>SUM(E13:E26)</f>
        <v>147871.84731802336</v>
      </c>
      <c r="F27" s="169"/>
      <c r="G27" s="159">
        <f>SUM(G13:G26)</f>
        <v>124059.43024</v>
      </c>
      <c r="H27" s="184">
        <v>0</v>
      </c>
    </row>
    <row r="28" spans="1:10">
      <c r="A28" s="164"/>
      <c r="B28" s="152"/>
      <c r="D28" s="151"/>
      <c r="E28" s="161"/>
      <c r="F28" s="169"/>
      <c r="G28" s="161"/>
      <c r="H28" s="151"/>
    </row>
    <row r="29" spans="1:10">
      <c r="B29" s="166" t="s">
        <v>123</v>
      </c>
      <c r="D29" s="168"/>
      <c r="E29" s="167">
        <f>+E10-E27</f>
        <v>50253.152681976644</v>
      </c>
      <c r="F29" s="169"/>
      <c r="G29" s="167">
        <f>+G10-G27</f>
        <v>51565.569759999998</v>
      </c>
      <c r="H29" s="168"/>
    </row>
    <row r="30" spans="1:10">
      <c r="B30" s="169"/>
      <c r="F30" s="169"/>
      <c r="G30" s="169"/>
    </row>
    <row r="31" spans="1:10">
      <c r="A31" s="170" t="s">
        <v>124</v>
      </c>
      <c r="B31" s="168"/>
      <c r="C31" s="168"/>
      <c r="D31" s="168"/>
      <c r="E31" s="168"/>
      <c r="F31" s="155"/>
      <c r="G31" s="171"/>
    </row>
    <row r="32" spans="1:10">
      <c r="A32" s="170"/>
      <c r="B32" s="168"/>
      <c r="C32" s="168"/>
      <c r="D32" s="168"/>
      <c r="E32" s="168"/>
      <c r="F32" s="168"/>
      <c r="G32" s="171"/>
    </row>
    <row r="33" spans="1:8">
      <c r="A33" s="170" t="s">
        <v>125</v>
      </c>
      <c r="B33" s="172" t="s">
        <v>126</v>
      </c>
      <c r="C33" s="168"/>
      <c r="D33" s="168"/>
      <c r="E33" s="168"/>
      <c r="F33" s="168"/>
      <c r="G33" s="171">
        <v>175000</v>
      </c>
      <c r="H33" s="192">
        <f>G33*0.8</f>
        <v>140000</v>
      </c>
    </row>
    <row r="34" spans="1:8">
      <c r="A34" s="173"/>
      <c r="B34" s="168" t="s">
        <v>127</v>
      </c>
      <c r="C34" s="168"/>
      <c r="D34" s="168"/>
      <c r="E34" s="168"/>
      <c r="F34" s="168"/>
      <c r="G34" s="174"/>
    </row>
    <row r="35" spans="1:8">
      <c r="A35" s="175"/>
      <c r="B35" s="168" t="s">
        <v>128</v>
      </c>
      <c r="D35" s="168"/>
      <c r="E35" s="168"/>
      <c r="F35" s="168"/>
      <c r="G35" s="171"/>
    </row>
    <row r="36" spans="1:8">
      <c r="A36" s="173"/>
      <c r="B36" s="168" t="s">
        <v>129</v>
      </c>
      <c r="D36" s="168"/>
      <c r="E36" s="168"/>
      <c r="F36" s="168"/>
      <c r="G36" s="175"/>
    </row>
    <row r="37" spans="1:8">
      <c r="A37" s="173"/>
      <c r="B37" s="168"/>
      <c r="C37" s="168" t="s">
        <v>107</v>
      </c>
      <c r="D37" s="168"/>
      <c r="E37" s="168"/>
      <c r="F37" s="168"/>
      <c r="G37" s="171"/>
    </row>
    <row r="38" spans="1:8">
      <c r="A38" s="170" t="s">
        <v>130</v>
      </c>
      <c r="B38" s="172" t="s">
        <v>131</v>
      </c>
      <c r="C38" s="168"/>
      <c r="D38" s="168"/>
      <c r="E38" s="168"/>
      <c r="F38" s="168"/>
      <c r="G38" s="171">
        <f>(250000+75000)*1.25</f>
        <v>406250</v>
      </c>
      <c r="H38" s="192">
        <f>G38*0.9</f>
        <v>365625</v>
      </c>
    </row>
    <row r="39" spans="1:8">
      <c r="A39" s="173"/>
      <c r="B39" s="168" t="s">
        <v>132</v>
      </c>
      <c r="C39" s="168"/>
      <c r="D39" s="168"/>
      <c r="E39" s="168"/>
      <c r="F39" s="168"/>
      <c r="G39" s="171"/>
    </row>
    <row r="40" spans="1:8">
      <c r="A40" s="175"/>
      <c r="B40" s="168" t="s">
        <v>133</v>
      </c>
      <c r="D40" s="168"/>
      <c r="E40" s="168"/>
      <c r="F40" s="168"/>
      <c r="G40" s="174"/>
    </row>
    <row r="41" spans="1:8">
      <c r="A41" s="173"/>
      <c r="B41" s="168"/>
      <c r="C41" s="168"/>
      <c r="D41" s="168"/>
      <c r="E41" s="168"/>
      <c r="F41" s="168"/>
      <c r="G41" s="175"/>
    </row>
    <row r="42" spans="1:8">
      <c r="A42" s="170" t="s">
        <v>134</v>
      </c>
      <c r="B42" s="172" t="s">
        <v>135</v>
      </c>
      <c r="C42" s="168"/>
      <c r="D42" s="168"/>
      <c r="E42" s="168"/>
      <c r="F42" s="168"/>
      <c r="G42" s="171">
        <f>150000+75000</f>
        <v>225000</v>
      </c>
      <c r="H42" s="192">
        <f>G42*0.7</f>
        <v>157500</v>
      </c>
    </row>
    <row r="43" spans="1:8">
      <c r="A43" s="173"/>
      <c r="B43" s="168" t="s">
        <v>136</v>
      </c>
      <c r="C43" s="168"/>
      <c r="D43" s="168"/>
      <c r="E43" s="168"/>
      <c r="F43" s="168"/>
      <c r="G43" s="174"/>
    </row>
    <row r="44" spans="1:8">
      <c r="A44" s="175"/>
      <c r="B44" s="168" t="s">
        <v>137</v>
      </c>
      <c r="D44" s="168"/>
      <c r="E44" s="168"/>
      <c r="F44" s="168"/>
      <c r="G44" s="171"/>
    </row>
    <row r="45" spans="1:8">
      <c r="A45" s="175"/>
      <c r="B45" s="168"/>
      <c r="C45" s="168"/>
      <c r="D45" s="168"/>
      <c r="E45" s="168"/>
      <c r="F45" s="168"/>
      <c r="G45" s="171"/>
    </row>
    <row r="46" spans="1:8">
      <c r="A46" s="176" t="s">
        <v>138</v>
      </c>
      <c r="B46" s="172" t="s">
        <v>139</v>
      </c>
      <c r="C46" s="168"/>
      <c r="D46" s="168"/>
      <c r="E46" s="168"/>
      <c r="F46" s="168"/>
      <c r="G46" s="171">
        <f>150000+75000+100000</f>
        <v>325000</v>
      </c>
      <c r="H46" s="192">
        <f>G46*0.9</f>
        <v>292500</v>
      </c>
    </row>
    <row r="47" spans="1:8">
      <c r="A47" s="173"/>
      <c r="B47" s="168" t="s">
        <v>140</v>
      </c>
      <c r="C47" s="168"/>
      <c r="D47" s="168"/>
      <c r="E47" s="168"/>
      <c r="F47" s="168"/>
      <c r="G47" s="171"/>
    </row>
    <row r="48" spans="1:8">
      <c r="A48" s="175"/>
      <c r="B48" s="168" t="s">
        <v>141</v>
      </c>
      <c r="D48" s="168"/>
      <c r="E48" s="168"/>
      <c r="F48" s="168"/>
      <c r="G48" s="175"/>
    </row>
    <row r="49" spans="1:8">
      <c r="A49" s="175"/>
      <c r="B49" s="168" t="s">
        <v>183</v>
      </c>
      <c r="C49" s="168" t="s">
        <v>107</v>
      </c>
      <c r="D49" s="168"/>
      <c r="E49" s="168"/>
      <c r="F49" s="168"/>
      <c r="G49" s="177"/>
      <c r="H49" s="194"/>
    </row>
    <row r="50" spans="1:8">
      <c r="A50" s="175"/>
      <c r="B50" s="168"/>
      <c r="C50" s="168"/>
      <c r="D50" s="168"/>
      <c r="E50" s="168"/>
      <c r="F50" s="168"/>
      <c r="G50" s="175"/>
    </row>
    <row r="51" spans="1:8">
      <c r="A51" s="172" t="s">
        <v>142</v>
      </c>
      <c r="B51" s="175"/>
      <c r="C51" s="175"/>
      <c r="D51" s="175"/>
      <c r="E51" s="175"/>
      <c r="F51" s="175"/>
      <c r="G51" s="190">
        <f>SUM(G33:G49)</f>
        <v>1131250</v>
      </c>
      <c r="H51" s="190">
        <f>SUM(H33:H49)</f>
        <v>955625</v>
      </c>
    </row>
    <row r="52" spans="1:8">
      <c r="A52" s="172"/>
      <c r="B52" s="175"/>
      <c r="C52" s="175"/>
      <c r="D52" s="175"/>
      <c r="E52" s="175"/>
      <c r="F52" s="175"/>
      <c r="G52" s="190"/>
    </row>
    <row r="53" spans="1:8" ht="15.75">
      <c r="A53" s="178" t="s">
        <v>143</v>
      </c>
      <c r="G53" s="191">
        <f>G33*0.2</f>
        <v>35000</v>
      </c>
    </row>
    <row r="54" spans="1:8">
      <c r="A54" s="178" t="s">
        <v>181</v>
      </c>
      <c r="G54" s="192">
        <f>G46*0.1</f>
        <v>32500</v>
      </c>
    </row>
    <row r="55" spans="1:8">
      <c r="A55" s="178" t="s">
        <v>182</v>
      </c>
      <c r="G55" s="192">
        <f>G42*0.3</f>
        <v>67500</v>
      </c>
    </row>
    <row r="58" spans="1:8">
      <c r="G58" s="1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/>
  </sheetViews>
  <sheetFormatPr defaultRowHeight="15"/>
  <sheetData>
    <row r="1" spans="1:18">
      <c r="C1" s="221" t="s">
        <v>184</v>
      </c>
      <c r="D1" s="221"/>
      <c r="E1" s="221"/>
      <c r="F1" s="221"/>
      <c r="G1" s="221" t="s">
        <v>196</v>
      </c>
      <c r="H1" s="221"/>
      <c r="I1" s="221"/>
      <c r="J1" s="221"/>
    </row>
    <row r="2" spans="1:18">
      <c r="A2" s="16" t="s">
        <v>26</v>
      </c>
      <c r="B2" s="16" t="s">
        <v>34</v>
      </c>
      <c r="C2" s="87" t="s">
        <v>35</v>
      </c>
      <c r="D2" s="87"/>
      <c r="E2" s="87"/>
      <c r="F2" s="16" t="s">
        <v>36</v>
      </c>
      <c r="G2" s="220" t="s">
        <v>37</v>
      </c>
      <c r="H2" s="220"/>
      <c r="I2" s="220"/>
      <c r="J2" s="16" t="s">
        <v>50</v>
      </c>
      <c r="K2" s="16" t="s">
        <v>38</v>
      </c>
      <c r="L2" s="16" t="s">
        <v>39</v>
      </c>
      <c r="M2" s="16" t="s">
        <v>55</v>
      </c>
      <c r="N2" s="16" t="s">
        <v>56</v>
      </c>
      <c r="O2" s="16" t="s">
        <v>40</v>
      </c>
      <c r="P2" s="16" t="s">
        <v>41</v>
      </c>
      <c r="Q2" s="16" t="s">
        <v>20</v>
      </c>
    </row>
    <row r="3" spans="1:18">
      <c r="A3" s="181" t="s">
        <v>170</v>
      </c>
      <c r="B3" s="179" t="s">
        <v>144</v>
      </c>
      <c r="C3" s="145" t="s">
        <v>145</v>
      </c>
      <c r="D3" s="145">
        <v>12</v>
      </c>
      <c r="E3" s="145" t="s">
        <v>185</v>
      </c>
      <c r="F3" s="51">
        <v>19674</v>
      </c>
      <c r="G3" s="145" t="s">
        <v>145</v>
      </c>
      <c r="H3" s="145">
        <v>13</v>
      </c>
      <c r="I3" s="145" t="s">
        <v>106</v>
      </c>
      <c r="J3" s="51">
        <v>20678</v>
      </c>
      <c r="K3" s="88">
        <v>44273</v>
      </c>
      <c r="L3" s="88">
        <v>44638</v>
      </c>
      <c r="M3" s="89">
        <v>12</v>
      </c>
      <c r="N3" s="89">
        <v>14</v>
      </c>
      <c r="O3" s="90">
        <f t="shared" ref="O3:O10" si="0">SUM(F3/26)*M3</f>
        <v>9080.3076923076933</v>
      </c>
      <c r="P3" s="86">
        <f>SUM(J3/26)*N3</f>
        <v>11134.307692307691</v>
      </c>
      <c r="Q3" s="86">
        <f>SUM(O3:P3)</f>
        <v>20214.615384615383</v>
      </c>
      <c r="R3" s="187">
        <f>+Q3-F3</f>
        <v>540.61538461538294</v>
      </c>
    </row>
    <row r="4" spans="1:18">
      <c r="A4" s="181" t="s">
        <v>189</v>
      </c>
      <c r="B4" s="179" t="s">
        <v>190</v>
      </c>
      <c r="C4" s="137" t="s">
        <v>193</v>
      </c>
      <c r="D4" s="137">
        <v>2</v>
      </c>
      <c r="E4" s="137" t="s">
        <v>105</v>
      </c>
      <c r="F4" s="185">
        <v>6565</v>
      </c>
      <c r="G4" s="137" t="s">
        <v>193</v>
      </c>
      <c r="H4" s="137">
        <v>4</v>
      </c>
      <c r="I4" s="137" t="s">
        <v>185</v>
      </c>
      <c r="J4" s="185">
        <v>6900</v>
      </c>
      <c r="K4" s="88">
        <v>44327</v>
      </c>
      <c r="L4" s="88">
        <v>44692</v>
      </c>
      <c r="M4" s="89">
        <v>17</v>
      </c>
      <c r="N4" s="89">
        <v>9</v>
      </c>
      <c r="O4" s="90">
        <f t="shared" si="0"/>
        <v>4292.5</v>
      </c>
      <c r="P4" s="44">
        <f>SUM(J4/26)*N4</f>
        <v>2388.4615384615381</v>
      </c>
      <c r="Q4" s="44">
        <f t="shared" ref="Q4:Q6" si="1">SUM(O4:P4)</f>
        <v>6680.9615384615381</v>
      </c>
      <c r="R4" s="187">
        <f t="shared" ref="R4:R10" si="2">+Q4-F4</f>
        <v>115.96153846153811</v>
      </c>
    </row>
    <row r="5" spans="1:18">
      <c r="A5" s="181" t="s">
        <v>194</v>
      </c>
      <c r="B5" s="180" t="s">
        <v>195</v>
      </c>
      <c r="C5" s="138"/>
      <c r="D5" s="138"/>
      <c r="E5" s="138"/>
      <c r="F5" s="85">
        <f>220*26</f>
        <v>5720</v>
      </c>
      <c r="G5" s="138"/>
      <c r="H5" s="138"/>
      <c r="I5" s="138"/>
      <c r="J5" s="85">
        <f>+F5</f>
        <v>5720</v>
      </c>
      <c r="K5" s="88"/>
      <c r="L5" s="88"/>
      <c r="M5" s="89"/>
      <c r="N5" s="89">
        <v>26</v>
      </c>
      <c r="O5" s="90">
        <f t="shared" si="0"/>
        <v>0</v>
      </c>
      <c r="P5" s="44">
        <f t="shared" ref="P5:P10" si="3">SUM(J5/26)*N5</f>
        <v>5720</v>
      </c>
      <c r="Q5" s="44">
        <f t="shared" ref="Q5" si="4">SUM(O5:P5)</f>
        <v>5720</v>
      </c>
      <c r="R5" s="187">
        <f t="shared" si="2"/>
        <v>0</v>
      </c>
    </row>
    <row r="6" spans="1:18">
      <c r="A6" s="181" t="s">
        <v>169</v>
      </c>
      <c r="B6" s="180" t="s">
        <v>171</v>
      </c>
      <c r="C6" s="138"/>
      <c r="D6" s="138"/>
      <c r="E6" s="138"/>
      <c r="F6" s="85">
        <f>+F5</f>
        <v>5720</v>
      </c>
      <c r="G6" s="138"/>
      <c r="H6" s="138"/>
      <c r="I6" s="138"/>
      <c r="J6" s="85">
        <f>+J5</f>
        <v>5720</v>
      </c>
      <c r="K6" s="139"/>
      <c r="L6" s="139"/>
      <c r="M6" s="140"/>
      <c r="N6" s="140">
        <v>26</v>
      </c>
      <c r="O6" s="90">
        <f t="shared" si="0"/>
        <v>0</v>
      </c>
      <c r="P6" s="44">
        <f t="shared" si="3"/>
        <v>5720</v>
      </c>
      <c r="Q6" s="141">
        <f t="shared" si="1"/>
        <v>5720</v>
      </c>
      <c r="R6" s="187">
        <f t="shared" si="2"/>
        <v>0</v>
      </c>
    </row>
    <row r="7" spans="1:18">
      <c r="A7" s="181" t="s">
        <v>188</v>
      </c>
      <c r="B7" s="180" t="s">
        <v>178</v>
      </c>
      <c r="C7" s="195" t="s">
        <v>146</v>
      </c>
      <c r="D7" s="196">
        <v>5</v>
      </c>
      <c r="E7" s="196" t="s">
        <v>106</v>
      </c>
      <c r="F7" s="197">
        <v>6777.5123873514458</v>
      </c>
      <c r="G7" s="195" t="s">
        <v>146</v>
      </c>
      <c r="H7" s="196">
        <v>6</v>
      </c>
      <c r="I7" s="196" t="s">
        <v>174</v>
      </c>
      <c r="J7" s="197">
        <v>7123</v>
      </c>
      <c r="K7" s="139">
        <v>44470</v>
      </c>
      <c r="L7" s="139">
        <v>44835</v>
      </c>
      <c r="M7" s="140">
        <v>0</v>
      </c>
      <c r="N7" s="140">
        <v>26</v>
      </c>
      <c r="O7" s="90">
        <f t="shared" si="0"/>
        <v>0</v>
      </c>
      <c r="P7" s="44">
        <f t="shared" si="3"/>
        <v>7123</v>
      </c>
      <c r="Q7" s="141">
        <f t="shared" ref="Q7" si="5">SUM(O7:P7)</f>
        <v>7123</v>
      </c>
      <c r="R7" s="187">
        <f t="shared" si="2"/>
        <v>345.4876126485542</v>
      </c>
    </row>
    <row r="8" spans="1:18">
      <c r="A8" s="181" t="s">
        <v>172</v>
      </c>
      <c r="B8" s="180" t="s">
        <v>175</v>
      </c>
      <c r="C8" s="138" t="s">
        <v>105</v>
      </c>
      <c r="D8" s="138">
        <v>13</v>
      </c>
      <c r="E8" s="138" t="s">
        <v>105</v>
      </c>
      <c r="F8" s="85">
        <v>8968</v>
      </c>
      <c r="G8" s="138" t="s">
        <v>105</v>
      </c>
      <c r="H8" s="138">
        <v>15</v>
      </c>
      <c r="I8" s="138" t="s">
        <v>185</v>
      </c>
      <c r="J8" s="85">
        <v>9425</v>
      </c>
      <c r="K8" s="139">
        <v>44367</v>
      </c>
      <c r="L8" s="139">
        <v>44732</v>
      </c>
      <c r="M8" s="140">
        <v>19</v>
      </c>
      <c r="N8" s="140">
        <v>7</v>
      </c>
      <c r="O8" s="90">
        <f t="shared" si="0"/>
        <v>6553.538461538461</v>
      </c>
      <c r="P8" s="44">
        <f t="shared" si="3"/>
        <v>2537.5</v>
      </c>
      <c r="Q8" s="141">
        <f t="shared" ref="Q8:Q10" si="6">SUM(O8:P8)</f>
        <v>9091.038461538461</v>
      </c>
      <c r="R8" s="187">
        <f t="shared" si="2"/>
        <v>123.03846153846098</v>
      </c>
    </row>
    <row r="9" spans="1:18">
      <c r="A9" s="181" t="s">
        <v>173</v>
      </c>
      <c r="B9" s="180" t="s">
        <v>176</v>
      </c>
      <c r="C9" s="138" t="s">
        <v>174</v>
      </c>
      <c r="D9" s="138">
        <v>20</v>
      </c>
      <c r="E9" s="138" t="s">
        <v>174</v>
      </c>
      <c r="F9" s="85">
        <v>11173</v>
      </c>
      <c r="G9" s="138" t="s">
        <v>174</v>
      </c>
      <c r="H9" s="138">
        <v>20</v>
      </c>
      <c r="I9" s="138" t="s">
        <v>105</v>
      </c>
      <c r="J9" s="85">
        <v>11285</v>
      </c>
      <c r="K9" s="139">
        <v>44504</v>
      </c>
      <c r="L9" s="139">
        <v>44869</v>
      </c>
      <c r="M9" s="140">
        <v>2</v>
      </c>
      <c r="N9" s="140">
        <v>24</v>
      </c>
      <c r="O9" s="90">
        <f t="shared" si="0"/>
        <v>859.46153846153845</v>
      </c>
      <c r="P9" s="44">
        <f t="shared" si="3"/>
        <v>10416.923076923078</v>
      </c>
      <c r="Q9" s="141">
        <f t="shared" si="6"/>
        <v>11276.384615384617</v>
      </c>
      <c r="R9" s="187">
        <f t="shared" si="2"/>
        <v>103.38461538461706</v>
      </c>
    </row>
    <row r="10" spans="1:18" ht="16.5">
      <c r="A10" s="181" t="s">
        <v>197</v>
      </c>
      <c r="B10" s="180" t="s">
        <v>177</v>
      </c>
      <c r="C10" s="138" t="s">
        <v>174</v>
      </c>
      <c r="D10" s="138">
        <v>2</v>
      </c>
      <c r="E10" s="138" t="s">
        <v>174</v>
      </c>
      <c r="F10" s="189">
        <v>5458</v>
      </c>
      <c r="G10" s="138" t="s">
        <v>174</v>
      </c>
      <c r="H10" s="138">
        <v>3</v>
      </c>
      <c r="I10" s="138" t="s">
        <v>105</v>
      </c>
      <c r="J10" s="189">
        <v>5736</v>
      </c>
      <c r="K10" s="139">
        <v>44470</v>
      </c>
      <c r="L10" s="139">
        <v>44835</v>
      </c>
      <c r="M10" s="140">
        <v>0</v>
      </c>
      <c r="N10" s="140">
        <v>26</v>
      </c>
      <c r="O10" s="90">
        <f t="shared" si="0"/>
        <v>0</v>
      </c>
      <c r="P10" s="44">
        <f t="shared" si="3"/>
        <v>5736</v>
      </c>
      <c r="Q10" s="141">
        <f t="shared" si="6"/>
        <v>5736</v>
      </c>
      <c r="R10" s="187">
        <f t="shared" si="2"/>
        <v>278</v>
      </c>
    </row>
    <row r="11" spans="1:18">
      <c r="F11" s="143">
        <f>SUM(F3:F10)</f>
        <v>70055.512387351453</v>
      </c>
      <c r="G11" s="144"/>
      <c r="H11" s="144"/>
      <c r="I11" s="144"/>
      <c r="J11" s="143">
        <f>SUM(J3:J10)</f>
        <v>72587</v>
      </c>
      <c r="K11" s="142"/>
      <c r="L11" s="142"/>
      <c r="M11" s="142"/>
      <c r="N11" s="142"/>
      <c r="O11" s="143">
        <f t="shared" ref="O11:Q11" si="7">SUM(O3:O10)</f>
        <v>20785.807692307695</v>
      </c>
      <c r="P11" s="143">
        <f t="shared" si="7"/>
        <v>50776.192307692312</v>
      </c>
      <c r="Q11" s="143">
        <f t="shared" si="7"/>
        <v>71562</v>
      </c>
      <c r="R11" s="188">
        <f>SUM(R3:R10)</f>
        <v>1506.4876126485533</v>
      </c>
    </row>
    <row r="13" spans="1:18">
      <c r="A13" s="4" t="s">
        <v>51</v>
      </c>
    </row>
    <row r="14" spans="1:18">
      <c r="F14" s="133"/>
      <c r="J14" s="133"/>
    </row>
    <row r="15" spans="1:18">
      <c r="J15" s="133"/>
    </row>
    <row r="16" spans="1:18">
      <c r="J16" s="133"/>
    </row>
    <row r="17" spans="10:10">
      <c r="J17" s="133"/>
    </row>
    <row r="18" spans="10:10">
      <c r="J18" s="1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5"/>
  <sheetData>
    <row r="1" spans="1:8">
      <c r="A1" s="91" t="s">
        <v>84</v>
      </c>
      <c r="B1" s="92" t="s">
        <v>44</v>
      </c>
      <c r="C1" s="93" t="s">
        <v>16</v>
      </c>
      <c r="D1" s="93" t="s">
        <v>17</v>
      </c>
      <c r="E1" s="94" t="s">
        <v>18</v>
      </c>
      <c r="F1" s="94" t="s">
        <v>19</v>
      </c>
      <c r="G1" s="92" t="s">
        <v>20</v>
      </c>
    </row>
    <row r="2" spans="1:8">
      <c r="A2" s="181" t="str">
        <f>+'3.Pay Level'!A3</f>
        <v>Elizabeth Layug</v>
      </c>
      <c r="B2" s="95">
        <f>IF(('3.Pay Level'!Q3*0.075)&gt;=2700,2700,'3.Pay Level'!Q3*0.075)</f>
        <v>1516.0961538461536</v>
      </c>
      <c r="C2" s="95">
        <f>SUM('3.Pay Level'!Q3*0.03)</f>
        <v>606.43846153846141</v>
      </c>
      <c r="D2" s="96">
        <v>7200</v>
      </c>
      <c r="E2" s="96">
        <v>1049.3599999999999</v>
      </c>
      <c r="F2" s="97">
        <f>SUM(('3.Pay Level'!Q3*2)*0.00038)*26</f>
        <v>399.44079999999997</v>
      </c>
      <c r="G2" s="96">
        <f>SUM(B2:F2)</f>
        <v>10771.335415384616</v>
      </c>
      <c r="H2" s="34"/>
    </row>
    <row r="3" spans="1:8">
      <c r="A3" s="181" t="str">
        <f>+'3.Pay Level'!A4</f>
        <v>Edward Edward</v>
      </c>
      <c r="B3" s="146">
        <f>IF(('3.Pay Level'!Q4*0.075)&gt;=2700,2700,'3.Pay Level'!Q4*0.075)</f>
        <v>501.07211538461536</v>
      </c>
      <c r="C3" s="146">
        <f>SUM('3.Pay Level'!Q4*0.03)</f>
        <v>200.42884615384614</v>
      </c>
      <c r="D3" s="65">
        <v>0</v>
      </c>
      <c r="E3" s="65">
        <v>580</v>
      </c>
      <c r="F3" s="147">
        <f>SUM(('3.Pay Level'!Q4*2)*0.00038)*26</f>
        <v>132.01580000000001</v>
      </c>
      <c r="G3" s="65">
        <f t="shared" ref="G3:G5" si="0">SUM(B3:F3)</f>
        <v>1413.5167615384617</v>
      </c>
    </row>
    <row r="4" spans="1:8">
      <c r="A4" s="181" t="str">
        <f>+'3.Pay Level'!A5</f>
        <v>Eyji Ardos</v>
      </c>
      <c r="B4" s="146">
        <f>IF(('3.Pay Level'!Q5*0.075)&gt;=2700,2700,'3.Pay Level'!Q5*0.075)</f>
        <v>429</v>
      </c>
      <c r="C4" s="146">
        <v>0</v>
      </c>
      <c r="D4" s="65">
        <v>0</v>
      </c>
      <c r="E4" s="65">
        <v>0</v>
      </c>
      <c r="F4" s="147">
        <v>0</v>
      </c>
      <c r="G4" s="65">
        <f t="shared" ref="G4" si="1">SUM(B4:F4)</f>
        <v>429</v>
      </c>
    </row>
    <row r="5" spans="1:8">
      <c r="A5" s="181" t="str">
        <f>+'3.Pay Level'!A6</f>
        <v>Vacant</v>
      </c>
      <c r="B5" s="146">
        <f>IF(('3.Pay Level'!Q6*0.075)&gt;=2700,2700,'3.Pay Level'!Q6*0.075)</f>
        <v>429</v>
      </c>
      <c r="C5" s="146">
        <v>0</v>
      </c>
      <c r="D5" s="65">
        <v>0</v>
      </c>
      <c r="E5" s="65">
        <v>0</v>
      </c>
      <c r="F5" s="147">
        <v>0</v>
      </c>
      <c r="G5" s="65">
        <f t="shared" si="0"/>
        <v>429</v>
      </c>
      <c r="H5" s="34"/>
    </row>
    <row r="6" spans="1:8">
      <c r="A6" s="181" t="str">
        <f>+'3.Pay Level'!A7</f>
        <v>Mina Lekka</v>
      </c>
      <c r="B6" s="146">
        <f>IF(('3.Pay Level'!Q7*0.075)&gt;=2700,2700,'3.Pay Level'!Q7*0.075)</f>
        <v>534.22500000000002</v>
      </c>
      <c r="C6" s="146">
        <f>SUM('3.Pay Level'!Q7*0.03)</f>
        <v>213.69</v>
      </c>
      <c r="D6" s="198"/>
      <c r="E6" s="65">
        <v>580</v>
      </c>
      <c r="F6" s="198">
        <v>130</v>
      </c>
      <c r="G6" s="65">
        <f t="shared" ref="G6:G9" si="2">SUM(B6:F6)</f>
        <v>1457.915</v>
      </c>
      <c r="H6" s="34"/>
    </row>
    <row r="7" spans="1:8">
      <c r="A7" s="181" t="str">
        <f>'3.Pay Level'!A8</f>
        <v>Caren Enlet</v>
      </c>
      <c r="B7" s="146">
        <f>IF(('3.Pay Level'!Q8*0.075)&gt;=2700,2700,'3.Pay Level'!Q8*0.075)</f>
        <v>681.82788461538451</v>
      </c>
      <c r="C7" s="146">
        <f>SUM('3.Pay Level'!Q8*0.03)</f>
        <v>272.7311538461538</v>
      </c>
      <c r="D7" s="65">
        <v>0</v>
      </c>
      <c r="E7" s="65">
        <v>580</v>
      </c>
      <c r="F7" s="147">
        <f>SUM(('3.Pay Level'!Q8*2)*0.00038)*26</f>
        <v>179.63892000000001</v>
      </c>
      <c r="G7" s="65">
        <f t="shared" si="2"/>
        <v>1714.1979584615385</v>
      </c>
      <c r="H7" s="34"/>
    </row>
    <row r="8" spans="1:8">
      <c r="A8" s="181" t="s">
        <v>173</v>
      </c>
      <c r="B8" s="146">
        <f>IF(('3.Pay Level'!Q9*0.075)&gt;=2700,2700,'3.Pay Level'!Q9*0.075)</f>
        <v>845.72884615384623</v>
      </c>
      <c r="C8" s="146">
        <f>SUM('3.Pay Level'!Q9*0.03)</f>
        <v>338.29153846153849</v>
      </c>
      <c r="D8" s="65">
        <v>0</v>
      </c>
      <c r="E8" s="65">
        <v>580</v>
      </c>
      <c r="F8" s="147">
        <f>SUM(('3.Pay Level'!Q9*2)*0.00038)*26</f>
        <v>222.82136000000006</v>
      </c>
      <c r="G8" s="65">
        <f t="shared" si="2"/>
        <v>1986.8417446153849</v>
      </c>
      <c r="H8" s="34"/>
    </row>
    <row r="9" spans="1:8">
      <c r="A9" s="181" t="str">
        <f>+'3.Pay Level'!A10</f>
        <v>Arlene Laafal</v>
      </c>
      <c r="B9" s="146">
        <f>IF(('3.Pay Level'!Q10*0.075)&gt;=2700,2700,'3.Pay Level'!Q10*0.075)</f>
        <v>430.2</v>
      </c>
      <c r="C9" s="146">
        <f>SUM('3.Pay Level'!Q10*0.03)</f>
        <v>172.07999999999998</v>
      </c>
      <c r="D9" s="65">
        <v>0</v>
      </c>
      <c r="E9" s="65">
        <v>580</v>
      </c>
      <c r="F9" s="147">
        <f>SUM(('3.Pay Level'!Q10*2)*0.00038)*26</f>
        <v>113.34336000000002</v>
      </c>
      <c r="G9" s="65">
        <f t="shared" si="2"/>
        <v>1295.62336</v>
      </c>
      <c r="H9" s="34"/>
    </row>
    <row r="10" spans="1:8">
      <c r="A10" s="1"/>
      <c r="B10" s="60">
        <f>SUM(B2:B9)</f>
        <v>5367.15</v>
      </c>
      <c r="C10" s="60">
        <f t="shared" ref="C10:G10" si="3">SUM(C2:C9)</f>
        <v>1803.6599999999999</v>
      </c>
      <c r="D10" s="60">
        <f t="shared" si="3"/>
        <v>7200</v>
      </c>
      <c r="E10" s="60">
        <f t="shared" si="3"/>
        <v>3949.3599999999997</v>
      </c>
      <c r="F10" s="60">
        <f t="shared" si="3"/>
        <v>1177.2602400000001</v>
      </c>
      <c r="G10" s="60">
        <f t="shared" si="3"/>
        <v>19497.430240000002</v>
      </c>
    </row>
    <row r="15" spans="1:8">
      <c r="A15" s="3" t="s">
        <v>70</v>
      </c>
    </row>
    <row r="16" spans="1:8">
      <c r="A16" s="4" t="s">
        <v>98</v>
      </c>
    </row>
    <row r="17" spans="1:1">
      <c r="A17" s="4" t="s">
        <v>68</v>
      </c>
    </row>
    <row r="18" spans="1:1">
      <c r="A18" s="4" t="s">
        <v>191</v>
      </c>
    </row>
    <row r="19" spans="1:1">
      <c r="A19" s="4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workbookViewId="0"/>
  </sheetViews>
  <sheetFormatPr defaultRowHeight="15"/>
  <sheetData>
    <row r="1" spans="1:27" ht="15.75">
      <c r="A1" s="10" t="s">
        <v>5</v>
      </c>
      <c r="B1" s="5"/>
      <c r="C1" s="5"/>
      <c r="D1" s="6"/>
      <c r="E1" s="6"/>
      <c r="F1" s="61"/>
      <c r="G1" s="6"/>
      <c r="H1" s="61"/>
      <c r="I1" s="6"/>
      <c r="J1" s="61"/>
      <c r="K1" s="6"/>
      <c r="L1" s="61"/>
      <c r="M1" s="6"/>
      <c r="N1" s="61"/>
      <c r="O1" s="6"/>
      <c r="P1" s="61"/>
      <c r="Q1" s="6"/>
      <c r="R1" s="61"/>
      <c r="S1" s="6"/>
      <c r="T1" s="61"/>
      <c r="U1" s="6"/>
      <c r="V1" s="61"/>
      <c r="X1" s="11"/>
    </row>
    <row r="2" spans="1:27">
      <c r="A2" s="12"/>
      <c r="B2" s="13"/>
      <c r="C2" s="14" t="s">
        <v>32</v>
      </c>
      <c r="D2" s="13"/>
      <c r="E2" s="15" t="s">
        <v>7</v>
      </c>
      <c r="F2" s="62">
        <v>1.1000000000000001</v>
      </c>
      <c r="G2" s="15" t="s">
        <v>7</v>
      </c>
      <c r="H2" s="62">
        <v>1.2</v>
      </c>
      <c r="I2" s="15" t="s">
        <v>7</v>
      </c>
      <c r="J2" s="62">
        <v>1.3</v>
      </c>
      <c r="K2" s="15" t="s">
        <v>7</v>
      </c>
      <c r="L2" s="62">
        <v>1.4</v>
      </c>
      <c r="M2" s="15" t="s">
        <v>7</v>
      </c>
      <c r="N2" s="62">
        <v>2.1</v>
      </c>
      <c r="O2" s="15" t="s">
        <v>7</v>
      </c>
      <c r="P2" s="62">
        <v>2.2000000000000002</v>
      </c>
      <c r="Q2" s="15" t="s">
        <v>7</v>
      </c>
      <c r="R2" s="62">
        <v>3.1</v>
      </c>
      <c r="S2" s="15" t="s">
        <v>25</v>
      </c>
      <c r="T2" s="62">
        <v>3.2</v>
      </c>
      <c r="U2" s="15" t="s">
        <v>7</v>
      </c>
      <c r="V2" s="62">
        <v>3.3</v>
      </c>
      <c r="W2" s="17" t="s">
        <v>20</v>
      </c>
      <c r="X2" s="18"/>
    </row>
    <row r="3" spans="1:27">
      <c r="A3" s="19" t="s">
        <v>58</v>
      </c>
      <c r="B3" s="20" t="s">
        <v>52</v>
      </c>
      <c r="C3" s="21" t="s">
        <v>73</v>
      </c>
      <c r="D3" s="22" t="s">
        <v>33</v>
      </c>
      <c r="E3" s="23" t="s">
        <v>59</v>
      </c>
      <c r="F3" s="63" t="s">
        <v>60</v>
      </c>
      <c r="G3" s="23" t="s">
        <v>59</v>
      </c>
      <c r="H3" s="63" t="s">
        <v>60</v>
      </c>
      <c r="I3" s="23" t="s">
        <v>59</v>
      </c>
      <c r="J3" s="63" t="s">
        <v>60</v>
      </c>
      <c r="K3" s="23" t="s">
        <v>59</v>
      </c>
      <c r="L3" s="63" t="s">
        <v>60</v>
      </c>
      <c r="M3" s="23" t="s">
        <v>59</v>
      </c>
      <c r="N3" s="63" t="s">
        <v>60</v>
      </c>
      <c r="O3" s="23" t="s">
        <v>59</v>
      </c>
      <c r="P3" s="63" t="s">
        <v>60</v>
      </c>
      <c r="Q3" s="23" t="s">
        <v>59</v>
      </c>
      <c r="R3" s="63" t="s">
        <v>60</v>
      </c>
      <c r="S3" s="23" t="s">
        <v>59</v>
      </c>
      <c r="T3" s="63" t="s">
        <v>60</v>
      </c>
      <c r="U3" s="23" t="s">
        <v>59</v>
      </c>
      <c r="V3" s="63" t="s">
        <v>60</v>
      </c>
      <c r="W3" s="24" t="s">
        <v>59</v>
      </c>
      <c r="X3" s="71" t="s">
        <v>60</v>
      </c>
    </row>
    <row r="4" spans="1:27">
      <c r="A4" s="4" t="str">
        <f>+'3.Pay Level'!A3</f>
        <v>Elizabeth Layug</v>
      </c>
      <c r="B4" s="51">
        <f>SUM('3.Pay Level'!F3)</f>
        <v>19674</v>
      </c>
      <c r="C4" s="51">
        <f>SUM('3.Pay Level'!Q3)</f>
        <v>20214.615384615383</v>
      </c>
      <c r="D4" s="25">
        <f>C4+'4.Fringe_Benefits'!G2</f>
        <v>30985.950799999999</v>
      </c>
      <c r="E4" s="26">
        <v>15</v>
      </c>
      <c r="F4" s="64">
        <f>SUM(D4*E4%)</f>
        <v>4647.8926199999996</v>
      </c>
      <c r="G4" s="26">
        <v>15</v>
      </c>
      <c r="H4" s="64">
        <f t="shared" ref="H4:H5" si="0">G4*$D4/100</f>
        <v>4647.8926199999996</v>
      </c>
      <c r="I4" s="26">
        <v>10</v>
      </c>
      <c r="J4" s="64">
        <f>I4*$D4/100</f>
        <v>3098.5950799999996</v>
      </c>
      <c r="K4" s="26">
        <v>10</v>
      </c>
      <c r="L4" s="64">
        <f>K4*$D4/100</f>
        <v>3098.5950799999996</v>
      </c>
      <c r="M4" s="26">
        <v>15</v>
      </c>
      <c r="N4" s="64">
        <f>M4*$D4/100</f>
        <v>4647.8926199999996</v>
      </c>
      <c r="O4" s="26">
        <v>20</v>
      </c>
      <c r="P4" s="64">
        <f>O4*$D4/100</f>
        <v>6197.1901599999992</v>
      </c>
      <c r="Q4" s="26">
        <v>5</v>
      </c>
      <c r="R4" s="64">
        <f>Q4*$D4/100</f>
        <v>1549.2975399999998</v>
      </c>
      <c r="S4" s="26">
        <v>5</v>
      </c>
      <c r="T4" s="64">
        <f>S4*$D4/100</f>
        <v>1549.2975399999998</v>
      </c>
      <c r="U4" s="26">
        <v>5</v>
      </c>
      <c r="V4" s="64">
        <f>U4*$D4/100</f>
        <v>1549.2975399999998</v>
      </c>
      <c r="W4" s="27">
        <f>SUM(E4+G4+I4+K4+M4+O4+Q4+S4+U4)</f>
        <v>100</v>
      </c>
      <c r="X4" s="65">
        <f>SUM(F4+H4+J4+L4+N4+P4+R4+T4+V4)</f>
        <v>30985.950799999995</v>
      </c>
    </row>
    <row r="5" spans="1:27">
      <c r="A5" s="4" t="str">
        <f>+'3.Pay Level'!A4</f>
        <v>Edward Edward</v>
      </c>
      <c r="B5" s="85">
        <f>SUM('3.Pay Level'!F4)</f>
        <v>6565</v>
      </c>
      <c r="C5" s="85">
        <f>SUM('3.Pay Level'!Q4)</f>
        <v>6680.9615384615381</v>
      </c>
      <c r="D5" s="25">
        <f>C5+'4.Fringe_Benefits'!G3</f>
        <v>8094.4782999999998</v>
      </c>
      <c r="E5" s="26">
        <v>10</v>
      </c>
      <c r="F5" s="64">
        <f>E5*$D5/100</f>
        <v>809.44782999999995</v>
      </c>
      <c r="G5" s="26">
        <v>10</v>
      </c>
      <c r="H5" s="64">
        <f t="shared" si="0"/>
        <v>809.44782999999995</v>
      </c>
      <c r="I5" s="26">
        <v>25</v>
      </c>
      <c r="J5" s="64">
        <f>I5*$D5/100</f>
        <v>2023.6195749999999</v>
      </c>
      <c r="K5" s="26">
        <v>15</v>
      </c>
      <c r="L5" s="64">
        <f>K5*$D5/100</f>
        <v>1214.1717449999999</v>
      </c>
      <c r="M5" s="26">
        <v>20</v>
      </c>
      <c r="N5" s="64">
        <f>M5*$D5/100</f>
        <v>1618.8956599999999</v>
      </c>
      <c r="O5" s="26">
        <v>10</v>
      </c>
      <c r="P5" s="64">
        <f>O5*$D5/100</f>
        <v>809.44782999999995</v>
      </c>
      <c r="Q5" s="26">
        <v>5</v>
      </c>
      <c r="R5" s="64">
        <f>Q5*$D5/100</f>
        <v>404.72391499999998</v>
      </c>
      <c r="S5" s="26">
        <v>5</v>
      </c>
      <c r="T5" s="64">
        <f>S5*$D5/100</f>
        <v>404.72391499999998</v>
      </c>
      <c r="U5" s="26"/>
      <c r="V5" s="64">
        <f>U5*$D5/100</f>
        <v>0</v>
      </c>
      <c r="W5" s="27">
        <f t="shared" ref="W5" si="1">SUM(E5+G5+I5+K5+M5+O5+Q5+S5+U5)</f>
        <v>100</v>
      </c>
      <c r="X5" s="65">
        <f t="shared" ref="X5" si="2">SUM(F5+H5+J5+L5+N5+P5+R5+T5+V5)</f>
        <v>8094.4782999999989</v>
      </c>
    </row>
    <row r="6" spans="1:27">
      <c r="A6" s="4" t="str">
        <f>+'3.Pay Level'!A5</f>
        <v>Eyji Ardos</v>
      </c>
      <c r="B6" s="85">
        <f>SUM('3.Pay Level'!F5)</f>
        <v>5720</v>
      </c>
      <c r="C6" s="85">
        <f>SUM('3.Pay Level'!Q5)</f>
        <v>5720</v>
      </c>
      <c r="D6" s="25">
        <f>C6+'4.Fringe_Benefits'!G4</f>
        <v>6149</v>
      </c>
      <c r="E6" s="26">
        <v>10</v>
      </c>
      <c r="F6" s="64">
        <f>E6*$D6/100</f>
        <v>614.9</v>
      </c>
      <c r="G6" s="26">
        <v>10</v>
      </c>
      <c r="H6" s="64">
        <f t="shared" ref="H6" si="3">G6*$D6/100</f>
        <v>614.9</v>
      </c>
      <c r="I6" s="26">
        <v>25</v>
      </c>
      <c r="J6" s="64">
        <f>I6*$D6/100</f>
        <v>1537.25</v>
      </c>
      <c r="K6" s="26">
        <v>15</v>
      </c>
      <c r="L6" s="64">
        <f>K6*$D6/100</f>
        <v>922.35</v>
      </c>
      <c r="M6" s="26">
        <v>20</v>
      </c>
      <c r="N6" s="64">
        <f>M6*$D6/100</f>
        <v>1229.8</v>
      </c>
      <c r="O6" s="26">
        <v>10</v>
      </c>
      <c r="P6" s="64">
        <f>O6*$D6/100</f>
        <v>614.9</v>
      </c>
      <c r="Q6" s="26">
        <v>5</v>
      </c>
      <c r="R6" s="64">
        <f>Q6*$D6/100</f>
        <v>307.45</v>
      </c>
      <c r="S6" s="26">
        <v>5</v>
      </c>
      <c r="T6" s="64">
        <f>S6*$D6/100</f>
        <v>307.45</v>
      </c>
      <c r="U6" s="26"/>
      <c r="V6" s="64">
        <f>U6*$D6/100</f>
        <v>0</v>
      </c>
      <c r="W6" s="27">
        <f t="shared" ref="W6" si="4">SUM(E6+G6+I6+K6+M6+O6+Q6+S6+U6)</f>
        <v>100</v>
      </c>
      <c r="X6" s="65">
        <f t="shared" ref="X6" si="5">SUM(F6+H6+J6+L6+N6+P6+R6+T6+V6)</f>
        <v>6148.9999999999991</v>
      </c>
    </row>
    <row r="7" spans="1:27">
      <c r="A7" s="4" t="str">
        <f>+'3.Pay Level'!A6</f>
        <v>Vacant</v>
      </c>
      <c r="B7" s="85">
        <f>SUM('3.Pay Level'!F6)</f>
        <v>5720</v>
      </c>
      <c r="C7" s="85">
        <f>SUM('3.Pay Level'!Q6)</f>
        <v>5720</v>
      </c>
      <c r="D7" s="25">
        <f>C7+'4.Fringe_Benefits'!G5</f>
        <v>6149</v>
      </c>
      <c r="E7" s="26">
        <v>10</v>
      </c>
      <c r="F7" s="64">
        <f>E7*$D7/100</f>
        <v>614.9</v>
      </c>
      <c r="G7" s="26">
        <v>10</v>
      </c>
      <c r="H7" s="64">
        <f t="shared" ref="H7" si="6">G7*$D7/100</f>
        <v>614.9</v>
      </c>
      <c r="I7" s="26">
        <v>25</v>
      </c>
      <c r="J7" s="64">
        <f>I7*$D7/100</f>
        <v>1537.25</v>
      </c>
      <c r="K7" s="26">
        <v>15</v>
      </c>
      <c r="L7" s="64">
        <f>K7*$D7/100</f>
        <v>922.35</v>
      </c>
      <c r="M7" s="26">
        <v>20</v>
      </c>
      <c r="N7" s="64">
        <f>M7*$D7/100</f>
        <v>1229.8</v>
      </c>
      <c r="O7" s="26">
        <v>10</v>
      </c>
      <c r="P7" s="64">
        <f>O7*$D7/100</f>
        <v>614.9</v>
      </c>
      <c r="Q7" s="26">
        <v>5</v>
      </c>
      <c r="R7" s="64">
        <f>Q7*$D7/100</f>
        <v>307.45</v>
      </c>
      <c r="S7" s="26">
        <v>5</v>
      </c>
      <c r="T7" s="64">
        <f>S7*$D7/100</f>
        <v>307.45</v>
      </c>
      <c r="U7" s="26"/>
      <c r="V7" s="64">
        <f>U7*$D7/100</f>
        <v>0</v>
      </c>
      <c r="W7" s="27">
        <f t="shared" ref="W7" si="7">SUM(E7+G7+I7+K7+M7+O7+Q7+S7+U7)</f>
        <v>100</v>
      </c>
      <c r="X7" s="65">
        <f t="shared" ref="X7" si="8">SUM(F7+H7+J7+L7+N7+P7+R7+T7+V7)</f>
        <v>6148.9999999999991</v>
      </c>
    </row>
    <row r="8" spans="1:27">
      <c r="A8" s="4" t="str">
        <f>+'3.Pay Level'!A7</f>
        <v>Mina Lekka</v>
      </c>
      <c r="B8" s="85">
        <f>SUM('3.Pay Level'!F7)</f>
        <v>6777.5123873514458</v>
      </c>
      <c r="C8" s="85">
        <f>SUM('3.Pay Level'!Q7)</f>
        <v>7123</v>
      </c>
      <c r="D8" s="25">
        <f>C8+'4.Fringe_Benefits'!G6</f>
        <v>8580.9150000000009</v>
      </c>
      <c r="E8" s="26">
        <v>10</v>
      </c>
      <c r="F8" s="64">
        <f t="shared" ref="F8:F11" si="9">E8*$D8/100</f>
        <v>858.09150000000011</v>
      </c>
      <c r="G8" s="26">
        <v>10</v>
      </c>
      <c r="H8" s="64">
        <f t="shared" ref="H8:H11" si="10">G8*$D8/100</f>
        <v>858.09150000000011</v>
      </c>
      <c r="I8" s="26">
        <v>25</v>
      </c>
      <c r="J8" s="64">
        <f t="shared" ref="J8:J11" si="11">I8*$D8/100</f>
        <v>2145.2287500000002</v>
      </c>
      <c r="K8" s="26">
        <v>15</v>
      </c>
      <c r="L8" s="64">
        <f t="shared" ref="L8:L11" si="12">K8*$D8/100</f>
        <v>1287.13725</v>
      </c>
      <c r="M8" s="26">
        <v>20</v>
      </c>
      <c r="N8" s="64">
        <f t="shared" ref="N8:N11" si="13">M8*$D8/100</f>
        <v>1716.1830000000002</v>
      </c>
      <c r="O8" s="26">
        <v>10</v>
      </c>
      <c r="P8" s="64">
        <f t="shared" ref="P8:P11" si="14">O8*$D8/100</f>
        <v>858.09150000000011</v>
      </c>
      <c r="Q8" s="26">
        <v>5</v>
      </c>
      <c r="R8" s="64">
        <f t="shared" ref="R8:R11" si="15">Q8*$D8/100</f>
        <v>429.04575000000006</v>
      </c>
      <c r="S8" s="26">
        <v>5</v>
      </c>
      <c r="T8" s="64">
        <f t="shared" ref="T8:T11" si="16">S8*$D8/100</f>
        <v>429.04575000000006</v>
      </c>
      <c r="U8" s="26"/>
      <c r="V8" s="64">
        <f t="shared" ref="V8:V11" si="17">U8*$D8/100</f>
        <v>0</v>
      </c>
      <c r="W8" s="27">
        <f t="shared" ref="W8:W11" si="18">SUM(E8+G8+I8+K8+M8+O8+Q8+S8+U8)</f>
        <v>100</v>
      </c>
      <c r="X8" s="65">
        <f t="shared" ref="X8:X11" si="19">SUM(F8+H8+J8+L8+N8+P8+R8+T8+V8)</f>
        <v>8580.9150000000009</v>
      </c>
    </row>
    <row r="9" spans="1:27">
      <c r="A9" s="4" t="str">
        <f>+'3.Pay Level'!A8</f>
        <v>Caren Enlet</v>
      </c>
      <c r="B9" s="85">
        <f>SUM('3.Pay Level'!F8)</f>
        <v>8968</v>
      </c>
      <c r="C9" s="85">
        <f>SUM('3.Pay Level'!Q8)</f>
        <v>9091.038461538461</v>
      </c>
      <c r="D9" s="25">
        <f>C9+'4.Fringe_Benefits'!G7</f>
        <v>10805.236419999999</v>
      </c>
      <c r="E9" s="26">
        <v>10</v>
      </c>
      <c r="F9" s="64">
        <f t="shared" si="9"/>
        <v>1080.5236419999999</v>
      </c>
      <c r="G9" s="26">
        <v>10</v>
      </c>
      <c r="H9" s="64">
        <f t="shared" si="10"/>
        <v>1080.5236419999999</v>
      </c>
      <c r="I9" s="26">
        <v>25</v>
      </c>
      <c r="J9" s="64">
        <f t="shared" si="11"/>
        <v>2701.3091049999998</v>
      </c>
      <c r="K9" s="26">
        <v>15</v>
      </c>
      <c r="L9" s="64">
        <f t="shared" si="12"/>
        <v>1620.7854629999999</v>
      </c>
      <c r="M9" s="26">
        <v>20</v>
      </c>
      <c r="N9" s="64">
        <f t="shared" si="13"/>
        <v>2161.0472839999998</v>
      </c>
      <c r="O9" s="26">
        <v>10</v>
      </c>
      <c r="P9" s="64">
        <f t="shared" si="14"/>
        <v>1080.5236419999999</v>
      </c>
      <c r="Q9" s="26">
        <v>5</v>
      </c>
      <c r="R9" s="64">
        <f t="shared" si="15"/>
        <v>540.26182099999994</v>
      </c>
      <c r="S9" s="26">
        <v>5</v>
      </c>
      <c r="T9" s="64">
        <f t="shared" si="16"/>
        <v>540.26182099999994</v>
      </c>
      <c r="U9" s="26"/>
      <c r="V9" s="64">
        <f t="shared" si="17"/>
        <v>0</v>
      </c>
      <c r="W9" s="27">
        <f t="shared" si="18"/>
        <v>100</v>
      </c>
      <c r="X9" s="65">
        <f t="shared" si="19"/>
        <v>10805.236419999999</v>
      </c>
    </row>
    <row r="10" spans="1:27">
      <c r="A10" s="4" t="str">
        <f>+'3.Pay Level'!A9</f>
        <v>Elsah Cornelius</v>
      </c>
      <c r="B10" s="85">
        <f>SUM('3.Pay Level'!F9)</f>
        <v>11173</v>
      </c>
      <c r="C10" s="85">
        <f>SUM('3.Pay Level'!Q9)</f>
        <v>11276.384615384617</v>
      </c>
      <c r="D10" s="25">
        <f>C10+'4.Fringe_Benefits'!G8</f>
        <v>13263.226360000002</v>
      </c>
      <c r="E10" s="26">
        <v>10</v>
      </c>
      <c r="F10" s="64">
        <f t="shared" si="9"/>
        <v>1326.3226360000003</v>
      </c>
      <c r="G10" s="26">
        <v>10</v>
      </c>
      <c r="H10" s="64">
        <f t="shared" si="10"/>
        <v>1326.3226360000003</v>
      </c>
      <c r="I10" s="26">
        <v>25</v>
      </c>
      <c r="J10" s="64">
        <f t="shared" si="11"/>
        <v>3315.8065900000006</v>
      </c>
      <c r="K10" s="26">
        <v>15</v>
      </c>
      <c r="L10" s="64">
        <f t="shared" si="12"/>
        <v>1989.4839540000003</v>
      </c>
      <c r="M10" s="26">
        <v>20</v>
      </c>
      <c r="N10" s="64">
        <f t="shared" si="13"/>
        <v>2652.6452720000007</v>
      </c>
      <c r="O10" s="26">
        <v>10</v>
      </c>
      <c r="P10" s="64">
        <f t="shared" si="14"/>
        <v>1326.3226360000003</v>
      </c>
      <c r="Q10" s="26">
        <v>5</v>
      </c>
      <c r="R10" s="64">
        <f t="shared" si="15"/>
        <v>663.16131800000016</v>
      </c>
      <c r="S10" s="26">
        <v>5</v>
      </c>
      <c r="T10" s="64">
        <f t="shared" si="16"/>
        <v>663.16131800000016</v>
      </c>
      <c r="U10" s="26"/>
      <c r="V10" s="64">
        <f t="shared" si="17"/>
        <v>0</v>
      </c>
      <c r="W10" s="27">
        <f t="shared" si="18"/>
        <v>100</v>
      </c>
      <c r="X10" s="65">
        <f t="shared" si="19"/>
        <v>13263.226360000004</v>
      </c>
    </row>
    <row r="11" spans="1:27">
      <c r="A11" s="4" t="str">
        <f>+'3.Pay Level'!A10</f>
        <v>Arlene Laafal</v>
      </c>
      <c r="B11" s="85">
        <f>SUM('3.Pay Level'!F10)</f>
        <v>5458</v>
      </c>
      <c r="C11" s="85">
        <f>SUM('3.Pay Level'!Q10)</f>
        <v>5736</v>
      </c>
      <c r="D11" s="25">
        <f>C11+'4.Fringe_Benefits'!G9</f>
        <v>7031.6233599999996</v>
      </c>
      <c r="E11" s="26">
        <v>10</v>
      </c>
      <c r="F11" s="64">
        <f t="shared" si="9"/>
        <v>703.16233599999987</v>
      </c>
      <c r="G11" s="26">
        <v>10</v>
      </c>
      <c r="H11" s="64">
        <f t="shared" si="10"/>
        <v>703.16233599999987</v>
      </c>
      <c r="I11" s="26">
        <v>25</v>
      </c>
      <c r="J11" s="64">
        <f t="shared" si="11"/>
        <v>1757.9058400000001</v>
      </c>
      <c r="K11" s="26">
        <v>15</v>
      </c>
      <c r="L11" s="64">
        <f t="shared" si="12"/>
        <v>1054.743504</v>
      </c>
      <c r="M11" s="26">
        <v>20</v>
      </c>
      <c r="N11" s="64">
        <f t="shared" si="13"/>
        <v>1406.3246719999997</v>
      </c>
      <c r="O11" s="26">
        <v>10</v>
      </c>
      <c r="P11" s="64">
        <f t="shared" si="14"/>
        <v>703.16233599999987</v>
      </c>
      <c r="Q11" s="26">
        <v>5</v>
      </c>
      <c r="R11" s="64">
        <f t="shared" si="15"/>
        <v>351.58116799999993</v>
      </c>
      <c r="S11" s="26">
        <v>5</v>
      </c>
      <c r="T11" s="64">
        <f t="shared" si="16"/>
        <v>351.58116799999993</v>
      </c>
      <c r="U11" s="26"/>
      <c r="V11" s="64">
        <f t="shared" si="17"/>
        <v>0</v>
      </c>
      <c r="W11" s="27">
        <f t="shared" si="18"/>
        <v>100</v>
      </c>
      <c r="X11" s="65">
        <f t="shared" si="19"/>
        <v>7031.6233599999996</v>
      </c>
    </row>
    <row r="12" spans="1:27">
      <c r="A12" s="53" t="s">
        <v>20</v>
      </c>
      <c r="B12" s="60">
        <f>SUM(B4:B11)</f>
        <v>70055.512387351453</v>
      </c>
      <c r="C12" s="60">
        <f t="shared" ref="C12:X12" si="20">SUM(C4:C11)</f>
        <v>71562</v>
      </c>
      <c r="D12" s="60">
        <f t="shared" si="20"/>
        <v>91059.430240000002</v>
      </c>
      <c r="E12" s="60">
        <f t="shared" si="20"/>
        <v>85</v>
      </c>
      <c r="F12" s="60">
        <f t="shared" si="20"/>
        <v>10655.240564</v>
      </c>
      <c r="G12" s="60">
        <f t="shared" si="20"/>
        <v>85</v>
      </c>
      <c r="H12" s="60">
        <f t="shared" si="20"/>
        <v>10655.240564</v>
      </c>
      <c r="I12" s="60">
        <f t="shared" si="20"/>
        <v>185</v>
      </c>
      <c r="J12" s="60">
        <f t="shared" si="20"/>
        <v>18116.964940000002</v>
      </c>
      <c r="K12" s="60">
        <f t="shared" si="20"/>
        <v>115</v>
      </c>
      <c r="L12" s="60">
        <f t="shared" si="20"/>
        <v>12109.616995999999</v>
      </c>
      <c r="M12" s="60">
        <f t="shared" si="20"/>
        <v>155</v>
      </c>
      <c r="N12" s="60">
        <f t="shared" si="20"/>
        <v>16662.588508000001</v>
      </c>
      <c r="O12" s="60">
        <f t="shared" si="20"/>
        <v>90</v>
      </c>
      <c r="P12" s="60">
        <f t="shared" si="20"/>
        <v>12204.538103999999</v>
      </c>
      <c r="Q12" s="60">
        <f t="shared" si="20"/>
        <v>40</v>
      </c>
      <c r="R12" s="60">
        <f t="shared" si="20"/>
        <v>4552.9715120000001</v>
      </c>
      <c r="S12" s="60">
        <f t="shared" si="20"/>
        <v>40</v>
      </c>
      <c r="T12" s="60">
        <f t="shared" si="20"/>
        <v>4552.9715120000001</v>
      </c>
      <c r="U12" s="60">
        <f t="shared" si="20"/>
        <v>5</v>
      </c>
      <c r="V12" s="60">
        <f t="shared" si="20"/>
        <v>1549.2975399999998</v>
      </c>
      <c r="W12" s="60">
        <f t="shared" si="20"/>
        <v>800</v>
      </c>
      <c r="X12" s="60">
        <f t="shared" si="20"/>
        <v>91059.430239999987</v>
      </c>
      <c r="AA12" s="30"/>
    </row>
    <row r="13" spans="1:27">
      <c r="A13" s="31"/>
      <c r="B13" s="11"/>
      <c r="C13" s="32"/>
      <c r="D13" s="32"/>
      <c r="E13" s="11"/>
      <c r="F13" s="65"/>
      <c r="G13" s="11"/>
      <c r="H13" s="65"/>
      <c r="I13" s="11"/>
      <c r="J13" s="65"/>
      <c r="K13" s="11"/>
      <c r="L13" s="65"/>
      <c r="M13" s="11"/>
      <c r="N13" s="65"/>
      <c r="O13" s="11"/>
      <c r="P13" s="65"/>
      <c r="Q13" s="11"/>
      <c r="R13" s="65"/>
      <c r="S13" s="11"/>
      <c r="T13" s="65"/>
      <c r="U13" s="11"/>
      <c r="V13" s="65"/>
    </row>
    <row r="14" spans="1:27" ht="15.75">
      <c r="A14" s="10" t="s">
        <v>6</v>
      </c>
      <c r="B14" s="5"/>
      <c r="C14" s="5"/>
      <c r="D14" s="6"/>
      <c r="E14" s="11"/>
      <c r="F14" s="65"/>
      <c r="G14" s="11"/>
      <c r="H14" s="65"/>
      <c r="I14" s="11"/>
      <c r="J14" s="61"/>
      <c r="K14" s="6"/>
      <c r="L14" s="61"/>
      <c r="M14" s="6"/>
      <c r="N14" s="61"/>
      <c r="O14" s="6"/>
      <c r="P14" s="61"/>
      <c r="Q14" s="6"/>
      <c r="R14" s="61"/>
      <c r="S14" s="6"/>
      <c r="T14" s="61"/>
      <c r="U14" s="6"/>
      <c r="V14" s="61"/>
    </row>
    <row r="15" spans="1:27">
      <c r="A15" s="33"/>
      <c r="B15" s="33"/>
      <c r="C15" s="33"/>
      <c r="D15" s="33"/>
      <c r="E15" s="15" t="s">
        <v>7</v>
      </c>
      <c r="F15" s="62">
        <v>1.1000000000000001</v>
      </c>
      <c r="G15" s="15" t="s">
        <v>7</v>
      </c>
      <c r="H15" s="62">
        <v>1.2</v>
      </c>
      <c r="I15" s="15" t="s">
        <v>7</v>
      </c>
      <c r="J15" s="62">
        <v>1.3</v>
      </c>
      <c r="K15" s="15" t="s">
        <v>7</v>
      </c>
      <c r="L15" s="62">
        <v>1.4</v>
      </c>
      <c r="M15" s="15" t="s">
        <v>7</v>
      </c>
      <c r="N15" s="62">
        <v>2.1</v>
      </c>
      <c r="O15" s="15" t="s">
        <v>7</v>
      </c>
      <c r="P15" s="62">
        <v>2.2000000000000002</v>
      </c>
      <c r="Q15" s="15" t="s">
        <v>7</v>
      </c>
      <c r="R15" s="62">
        <v>3.1</v>
      </c>
      <c r="S15" s="15" t="s">
        <v>25</v>
      </c>
      <c r="T15" s="62">
        <v>3.2</v>
      </c>
      <c r="U15" s="15" t="s">
        <v>7</v>
      </c>
      <c r="V15" s="62">
        <v>3.3</v>
      </c>
      <c r="W15" s="17" t="s">
        <v>20</v>
      </c>
      <c r="X15" s="18"/>
    </row>
    <row r="16" spans="1:27">
      <c r="A16" s="16" t="s">
        <v>8</v>
      </c>
      <c r="B16" s="16" t="s">
        <v>45</v>
      </c>
      <c r="C16" s="16" t="s">
        <v>9</v>
      </c>
      <c r="D16" s="16" t="s">
        <v>10</v>
      </c>
      <c r="E16" s="23" t="s">
        <v>59</v>
      </c>
      <c r="F16" s="63" t="s">
        <v>60</v>
      </c>
      <c r="G16" s="23" t="s">
        <v>59</v>
      </c>
      <c r="H16" s="63" t="s">
        <v>60</v>
      </c>
      <c r="I16" s="23" t="s">
        <v>59</v>
      </c>
      <c r="J16" s="63" t="s">
        <v>60</v>
      </c>
      <c r="K16" s="23" t="s">
        <v>59</v>
      </c>
      <c r="L16" s="63" t="s">
        <v>60</v>
      </c>
      <c r="M16" s="23" t="s">
        <v>59</v>
      </c>
      <c r="N16" s="63" t="s">
        <v>60</v>
      </c>
      <c r="O16" s="23" t="s">
        <v>59</v>
      </c>
      <c r="P16" s="63" t="s">
        <v>60</v>
      </c>
      <c r="Q16" s="23" t="s">
        <v>59</v>
      </c>
      <c r="R16" s="63" t="s">
        <v>60</v>
      </c>
      <c r="S16" s="23" t="s">
        <v>59</v>
      </c>
      <c r="T16" s="63" t="s">
        <v>60</v>
      </c>
      <c r="U16" s="23" t="s">
        <v>59</v>
      </c>
      <c r="V16" s="63" t="s">
        <v>60</v>
      </c>
      <c r="W16" s="24" t="s">
        <v>59</v>
      </c>
      <c r="X16" s="71" t="s">
        <v>60</v>
      </c>
    </row>
    <row r="17" spans="1:39">
      <c r="A17" s="4" t="s">
        <v>2</v>
      </c>
      <c r="B17" s="34">
        <v>0</v>
      </c>
      <c r="C17" s="4" t="s">
        <v>43</v>
      </c>
      <c r="D17" s="4"/>
      <c r="E17" s="52">
        <v>0</v>
      </c>
      <c r="F17" s="66">
        <f>E17*$B17/100</f>
        <v>0</v>
      </c>
      <c r="G17" s="52">
        <v>0</v>
      </c>
      <c r="H17" s="66">
        <f>G17*$B17/100</f>
        <v>0</v>
      </c>
      <c r="I17" s="52">
        <v>0</v>
      </c>
      <c r="J17" s="66">
        <f>I17*$B17/100</f>
        <v>0</v>
      </c>
      <c r="K17" s="52">
        <v>0</v>
      </c>
      <c r="L17" s="66">
        <f>K17*$B17/100</f>
        <v>0</v>
      </c>
      <c r="M17" s="52">
        <v>50</v>
      </c>
      <c r="N17" s="66">
        <f>M17*$B17/100</f>
        <v>0</v>
      </c>
      <c r="O17" s="52">
        <v>50</v>
      </c>
      <c r="P17" s="66">
        <f>O17*$B17/100</f>
        <v>0</v>
      </c>
      <c r="Q17" s="52">
        <v>0</v>
      </c>
      <c r="R17" s="66">
        <f>Q17*$B17/100</f>
        <v>0</v>
      </c>
      <c r="S17" s="52">
        <v>0</v>
      </c>
      <c r="T17" s="66">
        <f>S17*$B17/100</f>
        <v>0</v>
      </c>
      <c r="U17" s="52">
        <v>0</v>
      </c>
      <c r="V17" s="66">
        <f>U17*$B17/100</f>
        <v>0</v>
      </c>
      <c r="W17" s="27">
        <f t="shared" ref="W17:W20" si="21">SUM(E17+G17+I17+K17+M17+O17+Q17+S17+U17)</f>
        <v>100</v>
      </c>
      <c r="X17" s="65">
        <f t="shared" ref="X17:X20" si="22">SUM(F17+H17+J17+L17+N17+P17+R17+T17+V17)</f>
        <v>0</v>
      </c>
      <c r="Y17" s="11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>
      <c r="A18" s="4" t="s">
        <v>3</v>
      </c>
      <c r="B18" s="34">
        <v>0</v>
      </c>
      <c r="C18" s="4" t="s">
        <v>4</v>
      </c>
      <c r="D18" s="4"/>
      <c r="E18" s="52">
        <v>0</v>
      </c>
      <c r="F18" s="66">
        <f>E18*$B18/100</f>
        <v>0</v>
      </c>
      <c r="G18" s="52">
        <v>0</v>
      </c>
      <c r="H18" s="66">
        <f>G18*$B18/100</f>
        <v>0</v>
      </c>
      <c r="I18" s="52">
        <v>0</v>
      </c>
      <c r="J18" s="66">
        <f>I18*$B18/100</f>
        <v>0</v>
      </c>
      <c r="K18" s="52">
        <v>0</v>
      </c>
      <c r="L18" s="66">
        <f>K18*$B18/100</f>
        <v>0</v>
      </c>
      <c r="M18" s="52">
        <v>50</v>
      </c>
      <c r="N18" s="66">
        <f>M18*$B18/100</f>
        <v>0</v>
      </c>
      <c r="O18" s="52">
        <v>50</v>
      </c>
      <c r="P18" s="66">
        <f>O18*$B18/100</f>
        <v>0</v>
      </c>
      <c r="Q18" s="52">
        <v>0</v>
      </c>
      <c r="R18" s="66">
        <f>Q18*$B18/100</f>
        <v>0</v>
      </c>
      <c r="S18" s="52">
        <v>0</v>
      </c>
      <c r="T18" s="66">
        <f>S18*$B18/100</f>
        <v>0</v>
      </c>
      <c r="U18" s="52">
        <v>0</v>
      </c>
      <c r="V18" s="66">
        <f>U18*$B18/100</f>
        <v>0</v>
      </c>
      <c r="W18" s="27">
        <f t="shared" si="21"/>
        <v>100</v>
      </c>
      <c r="X18" s="65">
        <f t="shared" si="22"/>
        <v>0</v>
      </c>
      <c r="Y18" s="11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>
      <c r="A19" s="4" t="s">
        <v>90</v>
      </c>
      <c r="B19" s="34">
        <v>0</v>
      </c>
      <c r="C19" s="4" t="s">
        <v>4</v>
      </c>
      <c r="D19" s="4"/>
      <c r="E19" s="52">
        <v>0</v>
      </c>
      <c r="F19" s="66">
        <f>E19*$B19/100</f>
        <v>0</v>
      </c>
      <c r="G19" s="52">
        <v>0</v>
      </c>
      <c r="H19" s="66">
        <f>G19*$B19/100</f>
        <v>0</v>
      </c>
      <c r="I19" s="52">
        <v>0</v>
      </c>
      <c r="J19" s="66">
        <f>I19*$B19/100</f>
        <v>0</v>
      </c>
      <c r="K19" s="52">
        <v>0</v>
      </c>
      <c r="L19" s="66">
        <f>K19*$B19/100</f>
        <v>0</v>
      </c>
      <c r="M19" s="52">
        <v>0</v>
      </c>
      <c r="N19" s="66">
        <f>M19*$B19/100</f>
        <v>0</v>
      </c>
      <c r="O19" s="52">
        <v>0</v>
      </c>
      <c r="P19" s="66">
        <f>O19*$B19/100</f>
        <v>0</v>
      </c>
      <c r="Q19" s="52">
        <v>50</v>
      </c>
      <c r="R19" s="66">
        <f>Q19*$B19/100</f>
        <v>0</v>
      </c>
      <c r="S19" s="52"/>
      <c r="T19" s="66">
        <f>S19*$B19/100</f>
        <v>0</v>
      </c>
      <c r="U19" s="52">
        <v>50</v>
      </c>
      <c r="V19" s="66">
        <f>U19*$B19/100</f>
        <v>0</v>
      </c>
      <c r="W19" s="27">
        <f t="shared" si="21"/>
        <v>100</v>
      </c>
      <c r="X19" s="65">
        <f t="shared" si="22"/>
        <v>0</v>
      </c>
      <c r="Y19" s="11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>
      <c r="A20" s="28" t="s">
        <v>20</v>
      </c>
      <c r="B20" s="35">
        <f>SUM(B17:B19)</f>
        <v>0</v>
      </c>
      <c r="C20" s="36"/>
      <c r="D20" s="37"/>
      <c r="E20" s="38"/>
      <c r="F20" s="29">
        <f t="shared" ref="F20:P20" si="23">SUM(F17:F19)</f>
        <v>0</v>
      </c>
      <c r="G20" s="38">
        <f t="shared" si="23"/>
        <v>0</v>
      </c>
      <c r="H20" s="29">
        <f t="shared" si="23"/>
        <v>0</v>
      </c>
      <c r="I20" s="38">
        <f t="shared" si="23"/>
        <v>0</v>
      </c>
      <c r="J20" s="29">
        <f t="shared" si="23"/>
        <v>0</v>
      </c>
      <c r="K20" s="38">
        <f t="shared" si="23"/>
        <v>0</v>
      </c>
      <c r="L20" s="29">
        <f t="shared" si="23"/>
        <v>0</v>
      </c>
      <c r="M20" s="38">
        <f t="shared" si="23"/>
        <v>100</v>
      </c>
      <c r="N20" s="29">
        <f t="shared" si="23"/>
        <v>0</v>
      </c>
      <c r="O20" s="38">
        <f t="shared" si="23"/>
        <v>100</v>
      </c>
      <c r="P20" s="29">
        <f t="shared" si="23"/>
        <v>0</v>
      </c>
      <c r="Q20" s="38">
        <f t="shared" ref="Q20:V20" si="24">SUM(Q17:Q19)</f>
        <v>50</v>
      </c>
      <c r="R20" s="29">
        <f t="shared" si="24"/>
        <v>0</v>
      </c>
      <c r="S20" s="38">
        <f t="shared" si="24"/>
        <v>0</v>
      </c>
      <c r="T20" s="29">
        <f t="shared" si="24"/>
        <v>0</v>
      </c>
      <c r="U20" s="38">
        <f t="shared" si="24"/>
        <v>50</v>
      </c>
      <c r="V20" s="29">
        <f t="shared" si="24"/>
        <v>0</v>
      </c>
      <c r="W20" s="27">
        <f t="shared" si="21"/>
        <v>300</v>
      </c>
      <c r="X20" s="65">
        <f t="shared" si="22"/>
        <v>0</v>
      </c>
      <c r="Y20" s="11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2" spans="1:39" ht="15.75">
      <c r="A22" s="39" t="s">
        <v>11</v>
      </c>
      <c r="B22" s="40"/>
      <c r="C22" s="40"/>
      <c r="D22" s="41"/>
      <c r="E22" s="41"/>
      <c r="F22" s="44"/>
      <c r="G22" s="41"/>
      <c r="H22" s="44"/>
      <c r="I22" s="41"/>
      <c r="J22" s="44"/>
      <c r="K22" s="41"/>
      <c r="L22" s="44"/>
      <c r="M22" s="41"/>
      <c r="N22" s="44"/>
      <c r="O22" s="41"/>
      <c r="P22" s="44"/>
      <c r="Q22" s="41"/>
      <c r="R22" s="44"/>
      <c r="S22" s="41"/>
      <c r="T22" s="44"/>
      <c r="U22" s="41"/>
      <c r="V22" s="44"/>
      <c r="W22" s="41"/>
      <c r="X22" s="41"/>
      <c r="Y22" s="73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</row>
    <row r="23" spans="1:39">
      <c r="A23" s="42"/>
      <c r="B23" s="42"/>
      <c r="C23" s="42"/>
      <c r="D23" s="15"/>
      <c r="E23" s="15" t="s">
        <v>7</v>
      </c>
      <c r="F23" s="62">
        <v>1.1000000000000001</v>
      </c>
      <c r="G23" s="15" t="s">
        <v>7</v>
      </c>
      <c r="H23" s="62">
        <v>1.2</v>
      </c>
      <c r="I23" s="15" t="s">
        <v>7</v>
      </c>
      <c r="J23" s="62">
        <v>1.3</v>
      </c>
      <c r="K23" s="15" t="s">
        <v>7</v>
      </c>
      <c r="L23" s="62">
        <v>1.4</v>
      </c>
      <c r="M23" s="15" t="s">
        <v>7</v>
      </c>
      <c r="N23" s="62">
        <v>2.1</v>
      </c>
      <c r="O23" s="15" t="s">
        <v>7</v>
      </c>
      <c r="P23" s="62">
        <v>2.2000000000000002</v>
      </c>
      <c r="Q23" s="15" t="s">
        <v>7</v>
      </c>
      <c r="R23" s="62">
        <v>3.1</v>
      </c>
      <c r="S23" s="15" t="s">
        <v>25</v>
      </c>
      <c r="T23" s="62">
        <v>3.2</v>
      </c>
      <c r="U23" s="15" t="s">
        <v>7</v>
      </c>
      <c r="V23" s="62">
        <v>3.3</v>
      </c>
      <c r="W23" s="17" t="s">
        <v>20</v>
      </c>
      <c r="X23" s="18"/>
    </row>
    <row r="24" spans="1:39">
      <c r="A24" s="16" t="s">
        <v>12</v>
      </c>
      <c r="B24" s="16" t="s">
        <v>85</v>
      </c>
      <c r="C24" s="16" t="s">
        <v>14</v>
      </c>
      <c r="D24" s="23"/>
      <c r="E24" s="23" t="s">
        <v>59</v>
      </c>
      <c r="F24" s="63" t="s">
        <v>60</v>
      </c>
      <c r="G24" s="23" t="s">
        <v>59</v>
      </c>
      <c r="H24" s="63" t="s">
        <v>60</v>
      </c>
      <c r="I24" s="23" t="s">
        <v>59</v>
      </c>
      <c r="J24" s="63" t="s">
        <v>60</v>
      </c>
      <c r="K24" s="23" t="s">
        <v>59</v>
      </c>
      <c r="L24" s="63" t="s">
        <v>60</v>
      </c>
      <c r="M24" s="23" t="s">
        <v>59</v>
      </c>
      <c r="N24" s="63" t="s">
        <v>60</v>
      </c>
      <c r="O24" s="23" t="s">
        <v>59</v>
      </c>
      <c r="P24" s="63" t="s">
        <v>60</v>
      </c>
      <c r="Q24" s="23" t="s">
        <v>59</v>
      </c>
      <c r="R24" s="63" t="s">
        <v>60</v>
      </c>
      <c r="S24" s="23" t="s">
        <v>59</v>
      </c>
      <c r="T24" s="63" t="s">
        <v>60</v>
      </c>
      <c r="U24" s="23" t="s">
        <v>59</v>
      </c>
      <c r="V24" s="63" t="s">
        <v>60</v>
      </c>
      <c r="W24" s="24" t="s">
        <v>59</v>
      </c>
      <c r="X24" s="71" t="s">
        <v>60</v>
      </c>
    </row>
    <row r="25" spans="1:39">
      <c r="A25" s="50" t="s">
        <v>0</v>
      </c>
      <c r="B25" s="51">
        <v>0</v>
      </c>
      <c r="C25" s="51" t="s">
        <v>1</v>
      </c>
      <c r="D25" s="25" t="s">
        <v>1</v>
      </c>
      <c r="E25" s="52"/>
      <c r="F25" s="66">
        <f>E25*$B25/100</f>
        <v>0</v>
      </c>
      <c r="G25" s="52"/>
      <c r="H25" s="66">
        <f>G25*$B25/100</f>
        <v>0</v>
      </c>
      <c r="I25" s="52">
        <v>50</v>
      </c>
      <c r="J25" s="66">
        <f>I25*$B25/100</f>
        <v>0</v>
      </c>
      <c r="K25" s="52">
        <v>0</v>
      </c>
      <c r="L25" s="66">
        <f>K25*$B25/100</f>
        <v>0</v>
      </c>
      <c r="M25" s="52">
        <v>0</v>
      </c>
      <c r="N25" s="66">
        <f>M25*$B25/100</f>
        <v>0</v>
      </c>
      <c r="O25" s="52">
        <v>50</v>
      </c>
      <c r="P25" s="66">
        <f>O25*$B25/100</f>
        <v>0</v>
      </c>
      <c r="Q25" s="52">
        <v>0</v>
      </c>
      <c r="R25" s="66">
        <f>Q25*$B25/100</f>
        <v>0</v>
      </c>
      <c r="S25" s="52">
        <v>0</v>
      </c>
      <c r="T25" s="66">
        <f>S25*$B25/100</f>
        <v>0</v>
      </c>
      <c r="U25" s="52">
        <v>0</v>
      </c>
      <c r="V25" s="66">
        <f>U25*$B25/100</f>
        <v>0</v>
      </c>
      <c r="W25" s="27">
        <f t="shared" ref="W25:W26" si="25">SUM(E25+G25+I25+K25+M25+O25+Q25+S25+U25)</f>
        <v>100</v>
      </c>
      <c r="X25" s="65">
        <f t="shared" ref="X25:X26" si="26">SUM(F25+H25+J25+L25+N25+P25+R25+T25+V25)</f>
        <v>0</v>
      </c>
      <c r="Y25" s="11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>
      <c r="A26" s="50" t="s">
        <v>89</v>
      </c>
      <c r="B26" s="51">
        <v>0</v>
      </c>
      <c r="C26" s="51" t="s">
        <v>1</v>
      </c>
      <c r="D26" s="25" t="s">
        <v>1</v>
      </c>
      <c r="E26" s="52">
        <v>0</v>
      </c>
      <c r="F26" s="66">
        <f>E26*$B26/100</f>
        <v>0</v>
      </c>
      <c r="G26" s="52">
        <v>0</v>
      </c>
      <c r="H26" s="66">
        <f>G26*$B26/100</f>
        <v>0</v>
      </c>
      <c r="I26" s="52">
        <v>0</v>
      </c>
      <c r="J26" s="66">
        <f>I26*$B26/100</f>
        <v>0</v>
      </c>
      <c r="K26" s="52">
        <v>0</v>
      </c>
      <c r="L26" s="66">
        <v>0</v>
      </c>
      <c r="M26" s="52">
        <v>0</v>
      </c>
      <c r="N26" s="66">
        <f>M26*$B26/100</f>
        <v>0</v>
      </c>
      <c r="O26" s="52">
        <v>0</v>
      </c>
      <c r="P26" s="66">
        <f>O26*$B26/100</f>
        <v>0</v>
      </c>
      <c r="Q26" s="52">
        <v>0</v>
      </c>
      <c r="R26" s="66">
        <f>Q26*$B26/100</f>
        <v>0</v>
      </c>
      <c r="S26" s="52">
        <v>0</v>
      </c>
      <c r="T26" s="66">
        <f>S26*$B26/100</f>
        <v>0</v>
      </c>
      <c r="U26" s="52">
        <v>0</v>
      </c>
      <c r="V26" s="66">
        <f>U26*$B26/100</f>
        <v>0</v>
      </c>
      <c r="W26" s="27">
        <f t="shared" si="25"/>
        <v>0</v>
      </c>
      <c r="X26" s="65">
        <f t="shared" si="26"/>
        <v>0</v>
      </c>
      <c r="Y26" s="11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>
      <c r="A27" s="53" t="s">
        <v>20</v>
      </c>
      <c r="B27" s="59">
        <f>SUM(B25:B26)</f>
        <v>0</v>
      </c>
      <c r="C27" s="58"/>
      <c r="D27" s="55"/>
      <c r="E27" s="55"/>
      <c r="F27" s="57">
        <f>SUM(F25:F26)</f>
        <v>0</v>
      </c>
      <c r="G27" s="55" t="s">
        <v>86</v>
      </c>
      <c r="H27" s="57">
        <f>SUM(H25:H26)</f>
        <v>0</v>
      </c>
      <c r="I27" s="55" t="s">
        <v>86</v>
      </c>
      <c r="J27" s="57">
        <f>SUM(J25:J26)</f>
        <v>0</v>
      </c>
      <c r="K27" s="55" t="s">
        <v>86</v>
      </c>
      <c r="L27" s="57">
        <f>SUM(L25:L26)</f>
        <v>0</v>
      </c>
      <c r="M27" s="55" t="s">
        <v>86</v>
      </c>
      <c r="N27" s="57">
        <f>SUM(N25:N26)</f>
        <v>0</v>
      </c>
      <c r="O27" s="55" t="s">
        <v>87</v>
      </c>
      <c r="P27" s="57">
        <f>SUM(P25:P26)</f>
        <v>0</v>
      </c>
      <c r="Q27" s="55" t="s">
        <v>86</v>
      </c>
      <c r="R27" s="57">
        <f>SUM(R25:R26)</f>
        <v>0</v>
      </c>
      <c r="S27" s="55" t="s">
        <v>86</v>
      </c>
      <c r="T27" s="57">
        <f>SUM(T25:T26)</f>
        <v>0</v>
      </c>
      <c r="U27" s="55" t="s">
        <v>88</v>
      </c>
      <c r="V27" s="57">
        <f>SUM(V25:V26)</f>
        <v>0</v>
      </c>
      <c r="W27" s="56"/>
      <c r="X27" s="72">
        <f>SUM(X25:X26)</f>
        <v>0</v>
      </c>
      <c r="Y27" s="11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9" spans="1:39" ht="15.75">
      <c r="A29" s="43" t="s">
        <v>13</v>
      </c>
      <c r="B29" s="3"/>
      <c r="C29" s="3"/>
    </row>
    <row r="30" spans="1:39">
      <c r="A30" s="42"/>
      <c r="B30" s="42"/>
      <c r="C30" s="42"/>
      <c r="D30" s="15"/>
      <c r="E30" s="15" t="s">
        <v>7</v>
      </c>
      <c r="F30" s="62">
        <v>1.1000000000000001</v>
      </c>
      <c r="G30" s="15" t="s">
        <v>7</v>
      </c>
      <c r="H30" s="62">
        <v>1.2</v>
      </c>
      <c r="I30" s="15" t="s">
        <v>7</v>
      </c>
      <c r="J30" s="62">
        <v>1.3</v>
      </c>
      <c r="K30" s="15" t="s">
        <v>7</v>
      </c>
      <c r="L30" s="62">
        <v>1.4</v>
      </c>
      <c r="M30" s="15" t="s">
        <v>7</v>
      </c>
      <c r="N30" s="62">
        <v>2.1</v>
      </c>
      <c r="O30" s="15" t="s">
        <v>7</v>
      </c>
      <c r="P30" s="62">
        <v>2.2000000000000002</v>
      </c>
      <c r="Q30" s="15" t="s">
        <v>7</v>
      </c>
      <c r="R30" s="62">
        <v>3.1</v>
      </c>
      <c r="S30" s="15" t="s">
        <v>25</v>
      </c>
      <c r="T30" s="62">
        <v>3.2</v>
      </c>
      <c r="U30" s="15" t="s">
        <v>7</v>
      </c>
      <c r="V30" s="62">
        <v>3.3</v>
      </c>
      <c r="W30" s="17" t="s">
        <v>20</v>
      </c>
      <c r="X30" s="18"/>
    </row>
    <row r="31" spans="1:39">
      <c r="A31" s="16" t="s">
        <v>12</v>
      </c>
      <c r="B31" s="16" t="s">
        <v>48</v>
      </c>
      <c r="C31" s="16"/>
      <c r="D31" s="23"/>
      <c r="E31" s="23" t="s">
        <v>59</v>
      </c>
      <c r="F31" s="63" t="s">
        <v>60</v>
      </c>
      <c r="G31" s="23" t="s">
        <v>59</v>
      </c>
      <c r="H31" s="63" t="s">
        <v>60</v>
      </c>
      <c r="I31" s="23" t="s">
        <v>59</v>
      </c>
      <c r="J31" s="63" t="s">
        <v>60</v>
      </c>
      <c r="K31" s="23" t="s">
        <v>59</v>
      </c>
      <c r="L31" s="63" t="s">
        <v>60</v>
      </c>
      <c r="M31" s="23" t="s">
        <v>59</v>
      </c>
      <c r="N31" s="63" t="s">
        <v>60</v>
      </c>
      <c r="O31" s="23" t="s">
        <v>59</v>
      </c>
      <c r="P31" s="63" t="s">
        <v>60</v>
      </c>
      <c r="Q31" s="23" t="s">
        <v>59</v>
      </c>
      <c r="R31" s="63" t="s">
        <v>60</v>
      </c>
      <c r="S31" s="23" t="s">
        <v>59</v>
      </c>
      <c r="T31" s="63" t="s">
        <v>60</v>
      </c>
      <c r="U31" s="23" t="s">
        <v>59</v>
      </c>
      <c r="V31" s="63" t="s">
        <v>60</v>
      </c>
      <c r="W31" s="24" t="s">
        <v>59</v>
      </c>
      <c r="X31" s="71" t="s">
        <v>60</v>
      </c>
    </row>
    <row r="32" spans="1:39">
      <c r="A32" s="4" t="s">
        <v>77</v>
      </c>
      <c r="B32" s="44">
        <v>500</v>
      </c>
      <c r="C32" s="44"/>
      <c r="D32" s="26"/>
      <c r="E32" s="52"/>
      <c r="F32" s="66">
        <f>E32*$B32/100</f>
        <v>0</v>
      </c>
      <c r="G32" s="52"/>
      <c r="H32" s="66">
        <f>G32*$B32/100</f>
        <v>0</v>
      </c>
      <c r="I32" s="52">
        <v>50</v>
      </c>
      <c r="J32" s="66">
        <f>I32*$B32/100</f>
        <v>250</v>
      </c>
      <c r="K32" s="52"/>
      <c r="L32" s="66">
        <f>K32*$B32/100</f>
        <v>0</v>
      </c>
      <c r="M32" s="52"/>
      <c r="N32" s="66">
        <f>M32*$B32/100</f>
        <v>0</v>
      </c>
      <c r="O32" s="52">
        <v>50</v>
      </c>
      <c r="P32" s="66">
        <f>O32*$B32/100</f>
        <v>250</v>
      </c>
      <c r="Q32" s="52">
        <v>0</v>
      </c>
      <c r="R32" s="66">
        <f>Q32*$B32/100</f>
        <v>0</v>
      </c>
      <c r="S32" s="52">
        <v>0</v>
      </c>
      <c r="T32" s="66">
        <f>S32*$B32/100</f>
        <v>0</v>
      </c>
      <c r="U32" s="52">
        <v>0</v>
      </c>
      <c r="V32" s="66">
        <f>U32*$B32/100</f>
        <v>0</v>
      </c>
      <c r="W32" s="27">
        <f t="shared" ref="W32:W36" si="27">SUM(E32+G32+I32+K32+M32+O32+Q32+S32+U32)</f>
        <v>100</v>
      </c>
      <c r="X32" s="65">
        <f t="shared" ref="X32:X36" si="28">SUM(F32+H32+J32+L32+N32+P32+R32+T32+V32)</f>
        <v>500</v>
      </c>
    </row>
    <row r="33" spans="1:39">
      <c r="A33" s="4" t="s">
        <v>78</v>
      </c>
      <c r="B33" s="44">
        <v>1000</v>
      </c>
      <c r="C33" s="44"/>
      <c r="D33" s="26"/>
      <c r="E33" s="52">
        <v>10</v>
      </c>
      <c r="F33" s="66">
        <f>E33*$B33/100</f>
        <v>100</v>
      </c>
      <c r="G33" s="52">
        <v>10</v>
      </c>
      <c r="H33" s="66">
        <f>G33*$B33/100</f>
        <v>100</v>
      </c>
      <c r="I33" s="52">
        <v>10</v>
      </c>
      <c r="J33" s="66">
        <f>I33*$B33/100</f>
        <v>100</v>
      </c>
      <c r="K33" s="52"/>
      <c r="L33" s="66">
        <f>K33*$B33/100</f>
        <v>0</v>
      </c>
      <c r="M33" s="52">
        <v>20</v>
      </c>
      <c r="N33" s="66">
        <f>M33*$B33/100</f>
        <v>200</v>
      </c>
      <c r="O33" s="52">
        <v>20</v>
      </c>
      <c r="P33" s="66">
        <f>O33*$B33/100</f>
        <v>200</v>
      </c>
      <c r="Q33" s="52">
        <v>0</v>
      </c>
      <c r="R33" s="66">
        <f t="shared" ref="R33:R35" si="29">Q33*$B33/100</f>
        <v>0</v>
      </c>
      <c r="S33" s="52">
        <v>30</v>
      </c>
      <c r="T33" s="66">
        <f t="shared" ref="T33:T35" si="30">S33*$B33/100</f>
        <v>300</v>
      </c>
      <c r="U33" s="52">
        <v>0</v>
      </c>
      <c r="V33" s="66">
        <f t="shared" ref="V33:V35" si="31">U33*$B33/100</f>
        <v>0</v>
      </c>
      <c r="W33" s="27">
        <f t="shared" si="27"/>
        <v>100</v>
      </c>
      <c r="X33" s="65">
        <f t="shared" si="28"/>
        <v>1000</v>
      </c>
    </row>
    <row r="34" spans="1:39">
      <c r="A34" s="4" t="s">
        <v>79</v>
      </c>
      <c r="B34" s="44">
        <v>7000</v>
      </c>
      <c r="C34" s="44"/>
      <c r="D34" s="26"/>
      <c r="E34" s="52">
        <v>10</v>
      </c>
      <c r="F34" s="66">
        <f>E34*$B34/100</f>
        <v>700</v>
      </c>
      <c r="G34" s="52">
        <v>10</v>
      </c>
      <c r="H34" s="66">
        <f>G34*$B34/100</f>
        <v>700</v>
      </c>
      <c r="I34" s="52">
        <v>10</v>
      </c>
      <c r="J34" s="66">
        <f>I34*$B34/100</f>
        <v>700</v>
      </c>
      <c r="K34" s="52">
        <v>10</v>
      </c>
      <c r="L34" s="66">
        <f>K34*$B34/100</f>
        <v>700</v>
      </c>
      <c r="M34" s="52">
        <v>10</v>
      </c>
      <c r="N34" s="66">
        <f>M34*$B34/100</f>
        <v>700</v>
      </c>
      <c r="O34" s="52">
        <v>10</v>
      </c>
      <c r="P34" s="66">
        <f>O34*$B34/100</f>
        <v>700</v>
      </c>
      <c r="Q34" s="52">
        <v>10</v>
      </c>
      <c r="R34" s="66">
        <f t="shared" si="29"/>
        <v>700</v>
      </c>
      <c r="S34" s="52">
        <v>20</v>
      </c>
      <c r="T34" s="66">
        <f t="shared" si="30"/>
        <v>1400</v>
      </c>
      <c r="U34" s="52">
        <v>10</v>
      </c>
      <c r="V34" s="66">
        <f t="shared" si="31"/>
        <v>700</v>
      </c>
      <c r="W34" s="27">
        <f t="shared" si="27"/>
        <v>100</v>
      </c>
      <c r="X34" s="65">
        <f t="shared" si="28"/>
        <v>7000</v>
      </c>
    </row>
    <row r="35" spans="1:39">
      <c r="A35" s="4" t="s">
        <v>91</v>
      </c>
      <c r="B35" s="45">
        <v>500</v>
      </c>
      <c r="C35" s="45"/>
      <c r="D35" s="26"/>
      <c r="E35" s="52"/>
      <c r="F35" s="66">
        <f>E35*$B35/100</f>
        <v>0</v>
      </c>
      <c r="G35" s="52"/>
      <c r="H35" s="66">
        <f>G35*$B35/100</f>
        <v>0</v>
      </c>
      <c r="I35" s="52"/>
      <c r="J35" s="66">
        <f>I35*$B35/100</f>
        <v>0</v>
      </c>
      <c r="K35" s="52"/>
      <c r="L35" s="66">
        <f>K35*$B35/100</f>
        <v>0</v>
      </c>
      <c r="M35" s="52"/>
      <c r="N35" s="66">
        <f>M35*$B35/100</f>
        <v>0</v>
      </c>
      <c r="O35" s="52"/>
      <c r="P35" s="66">
        <f>O35*$B35/100</f>
        <v>0</v>
      </c>
      <c r="Q35" s="52">
        <v>0</v>
      </c>
      <c r="R35" s="66">
        <f t="shared" si="29"/>
        <v>0</v>
      </c>
      <c r="S35" s="52">
        <v>0</v>
      </c>
      <c r="T35" s="66">
        <f t="shared" si="30"/>
        <v>0</v>
      </c>
      <c r="U35" s="52">
        <v>100</v>
      </c>
      <c r="V35" s="66">
        <f t="shared" si="31"/>
        <v>500</v>
      </c>
      <c r="W35" s="27">
        <f t="shared" si="27"/>
        <v>100</v>
      </c>
      <c r="X35" s="65">
        <f t="shared" si="28"/>
        <v>500</v>
      </c>
    </row>
    <row r="36" spans="1:39">
      <c r="A36" s="4" t="s">
        <v>163</v>
      </c>
      <c r="B36" s="45">
        <v>5000</v>
      </c>
      <c r="C36" s="45"/>
      <c r="D36" s="26"/>
      <c r="E36" s="52">
        <v>0</v>
      </c>
      <c r="F36" s="66">
        <f>E36*$B36/100</f>
        <v>0</v>
      </c>
      <c r="G36" s="52">
        <v>0</v>
      </c>
      <c r="H36" s="66">
        <f>G36*$B36/100</f>
        <v>0</v>
      </c>
      <c r="I36" s="52">
        <v>0</v>
      </c>
      <c r="J36" s="66">
        <f>I36*$B36/100</f>
        <v>0</v>
      </c>
      <c r="K36" s="52">
        <v>0</v>
      </c>
      <c r="L36" s="66">
        <f>K36*$B36/100</f>
        <v>0</v>
      </c>
      <c r="M36" s="52">
        <v>0</v>
      </c>
      <c r="N36" s="66">
        <f>M36*$B36/100</f>
        <v>0</v>
      </c>
      <c r="O36" s="52">
        <v>0</v>
      </c>
      <c r="P36" s="66">
        <f>O36*$B36/100</f>
        <v>0</v>
      </c>
      <c r="Q36" s="52">
        <v>0</v>
      </c>
      <c r="R36" s="66">
        <f>Q36*$B36/100</f>
        <v>0</v>
      </c>
      <c r="S36" s="52">
        <v>100</v>
      </c>
      <c r="T36" s="66">
        <f>S36*$B36/100</f>
        <v>5000</v>
      </c>
      <c r="U36" s="52">
        <v>0</v>
      </c>
      <c r="V36" s="66">
        <f>U36*$B36/100</f>
        <v>0</v>
      </c>
      <c r="W36" s="27">
        <f t="shared" si="27"/>
        <v>100</v>
      </c>
      <c r="X36" s="65">
        <f t="shared" si="28"/>
        <v>5000</v>
      </c>
    </row>
    <row r="37" spans="1:39">
      <c r="A37" s="53" t="s">
        <v>20</v>
      </c>
      <c r="B37" s="70">
        <f>SUM(B32:B36)</f>
        <v>14000</v>
      </c>
      <c r="C37" s="54"/>
      <c r="D37" s="55"/>
      <c r="E37" s="55"/>
      <c r="F37" s="57">
        <f>SUM(F32:F36)</f>
        <v>800</v>
      </c>
      <c r="G37" s="55" t="s">
        <v>24</v>
      </c>
      <c r="H37" s="57">
        <f>SUM(H32:H36)</f>
        <v>800</v>
      </c>
      <c r="I37" s="55" t="s">
        <v>24</v>
      </c>
      <c r="J37" s="57">
        <f>SUM(J32:J36)</f>
        <v>1050</v>
      </c>
      <c r="K37" s="55" t="s">
        <v>24</v>
      </c>
      <c r="L37" s="57">
        <f>SUM(L32:L36)</f>
        <v>700</v>
      </c>
      <c r="M37" s="55" t="s">
        <v>24</v>
      </c>
      <c r="N37" s="57">
        <f>SUM(N32:N36)</f>
        <v>900</v>
      </c>
      <c r="O37" s="55" t="s">
        <v>24</v>
      </c>
      <c r="P37" s="57">
        <f>SUM(P32:P36)</f>
        <v>1150</v>
      </c>
      <c r="Q37" s="55" t="s">
        <v>24</v>
      </c>
      <c r="R37" s="57">
        <f>SUM(R32:R36)</f>
        <v>700</v>
      </c>
      <c r="S37" s="55" t="s">
        <v>24</v>
      </c>
      <c r="T37" s="57">
        <f>SUM(T32:T36)</f>
        <v>6700</v>
      </c>
      <c r="U37" s="55" t="s">
        <v>24</v>
      </c>
      <c r="V37" s="57">
        <f>SUM(V32:V36)</f>
        <v>1200</v>
      </c>
      <c r="W37" s="56"/>
      <c r="X37" s="72">
        <f>SUM(X32:X36)</f>
        <v>14000</v>
      </c>
    </row>
    <row r="38" spans="1:39" ht="15.75">
      <c r="A38" s="108"/>
      <c r="B38" s="46"/>
      <c r="C38" s="46"/>
      <c r="D38" s="47"/>
      <c r="E38" s="47"/>
      <c r="F38" s="45"/>
      <c r="G38" s="47"/>
      <c r="H38" s="45"/>
      <c r="I38" s="47"/>
      <c r="J38" s="67"/>
      <c r="K38" s="49"/>
      <c r="L38" s="67"/>
      <c r="M38" s="49"/>
      <c r="N38" s="67"/>
      <c r="O38" s="49"/>
      <c r="P38" s="67"/>
      <c r="Q38" s="49"/>
      <c r="R38" s="67"/>
      <c r="S38" s="49"/>
      <c r="T38" s="67"/>
      <c r="U38" s="49"/>
      <c r="V38" s="67"/>
      <c r="W38" s="48"/>
      <c r="X38" s="48"/>
      <c r="Y38" s="47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</row>
    <row r="39" spans="1:39" ht="15.75">
      <c r="A39" s="43" t="s">
        <v>67</v>
      </c>
      <c r="B39" s="3"/>
      <c r="C39" s="3"/>
    </row>
    <row r="40" spans="1:39">
      <c r="A40" s="42"/>
      <c r="B40" s="42"/>
      <c r="C40" s="42"/>
      <c r="D40" s="15"/>
      <c r="E40" s="15" t="s">
        <v>7</v>
      </c>
      <c r="F40" s="62">
        <v>1.1000000000000001</v>
      </c>
      <c r="G40" s="15" t="s">
        <v>7</v>
      </c>
      <c r="H40" s="62">
        <v>1.2</v>
      </c>
      <c r="I40" s="15" t="s">
        <v>7</v>
      </c>
      <c r="J40" s="62">
        <v>1.3</v>
      </c>
      <c r="K40" s="15" t="s">
        <v>7</v>
      </c>
      <c r="L40" s="62">
        <v>1.4</v>
      </c>
      <c r="M40" s="15" t="s">
        <v>7</v>
      </c>
      <c r="N40" s="62">
        <v>2.1</v>
      </c>
      <c r="O40" s="15" t="s">
        <v>7</v>
      </c>
      <c r="P40" s="68">
        <v>2.2000000000000002</v>
      </c>
      <c r="Q40" s="15" t="s">
        <v>7</v>
      </c>
      <c r="R40" s="62">
        <v>3.1</v>
      </c>
      <c r="S40" s="15" t="s">
        <v>25</v>
      </c>
      <c r="T40" s="62">
        <v>3.2</v>
      </c>
      <c r="U40" s="15" t="s">
        <v>7</v>
      </c>
      <c r="V40" s="62">
        <v>3.3</v>
      </c>
      <c r="W40" s="17" t="s">
        <v>20</v>
      </c>
      <c r="X40" s="18"/>
    </row>
    <row r="41" spans="1:39">
      <c r="A41" s="16" t="s">
        <v>12</v>
      </c>
      <c r="B41" s="16" t="s">
        <v>60</v>
      </c>
      <c r="C41" s="16" t="s">
        <v>48</v>
      </c>
      <c r="D41" s="23"/>
      <c r="E41" s="23" t="s">
        <v>59</v>
      </c>
      <c r="F41" s="63" t="s">
        <v>60</v>
      </c>
      <c r="G41" s="23" t="s">
        <v>59</v>
      </c>
      <c r="H41" s="63" t="s">
        <v>60</v>
      </c>
      <c r="I41" s="23" t="s">
        <v>59</v>
      </c>
      <c r="J41" s="63" t="s">
        <v>60</v>
      </c>
      <c r="K41" s="23" t="s">
        <v>59</v>
      </c>
      <c r="L41" s="63" t="s">
        <v>60</v>
      </c>
      <c r="M41" s="23" t="s">
        <v>59</v>
      </c>
      <c r="N41" s="63" t="s">
        <v>60</v>
      </c>
      <c r="O41" s="23" t="s">
        <v>59</v>
      </c>
      <c r="P41" s="69" t="s">
        <v>59</v>
      </c>
      <c r="Q41" s="23" t="s">
        <v>59</v>
      </c>
      <c r="R41" s="63" t="s">
        <v>60</v>
      </c>
      <c r="S41" s="23" t="s">
        <v>59</v>
      </c>
      <c r="T41" s="63" t="s">
        <v>60</v>
      </c>
      <c r="U41" s="23" t="s">
        <v>59</v>
      </c>
      <c r="V41" s="63" t="s">
        <v>60</v>
      </c>
      <c r="W41" s="24" t="s">
        <v>59</v>
      </c>
      <c r="X41" s="71" t="s">
        <v>60</v>
      </c>
    </row>
    <row r="42" spans="1:39" ht="86.25">
      <c r="A42" s="106" t="s">
        <v>180</v>
      </c>
      <c r="B42" s="86">
        <v>20000</v>
      </c>
      <c r="C42" s="86">
        <v>0</v>
      </c>
      <c r="D42" s="52"/>
      <c r="E42" s="52">
        <v>10</v>
      </c>
      <c r="F42" s="66">
        <f>E42*$C42/100</f>
        <v>0</v>
      </c>
      <c r="G42" s="52">
        <v>10</v>
      </c>
      <c r="H42" s="66">
        <f>G42*$C42/100</f>
        <v>0</v>
      </c>
      <c r="I42" s="52">
        <v>0</v>
      </c>
      <c r="J42" s="66">
        <f>I42*$B42/100</f>
        <v>0</v>
      </c>
      <c r="K42" s="52">
        <v>50</v>
      </c>
      <c r="L42" s="66">
        <f>K42*$B42/100</f>
        <v>10000</v>
      </c>
      <c r="M42" s="52">
        <v>20</v>
      </c>
      <c r="N42" s="66">
        <f>M42*$C42/100</f>
        <v>0</v>
      </c>
      <c r="O42" s="52">
        <v>50</v>
      </c>
      <c r="P42" s="66">
        <f>O42*$B42/100</f>
        <v>10000</v>
      </c>
      <c r="Q42" s="52">
        <v>0</v>
      </c>
      <c r="R42" s="66">
        <f>Q42*$C42/100</f>
        <v>0</v>
      </c>
      <c r="S42" s="52">
        <v>0</v>
      </c>
      <c r="T42" s="66">
        <f>S42*$C42/100</f>
        <v>0</v>
      </c>
      <c r="U42" s="52">
        <v>0</v>
      </c>
      <c r="V42" s="66">
        <f>U42*$C42/100</f>
        <v>0</v>
      </c>
      <c r="W42" s="27">
        <f>SUM(E42+G42+I42+K42+M42+O42+Q42+S42+U42)</f>
        <v>140</v>
      </c>
      <c r="X42" s="65">
        <f>SUM(F42+H42+J42+L42+N42+P42+R42+T42+V42)</f>
        <v>20000</v>
      </c>
      <c r="Y42" s="11"/>
    </row>
    <row r="43" spans="1:39">
      <c r="A43" s="53" t="s">
        <v>20</v>
      </c>
      <c r="B43" s="59">
        <f>+B42</f>
        <v>20000</v>
      </c>
      <c r="C43" s="58"/>
      <c r="D43" s="55"/>
      <c r="E43" s="55"/>
      <c r="F43" s="57">
        <f>SUM(F42)</f>
        <v>0</v>
      </c>
      <c r="G43" s="55" t="s">
        <v>24</v>
      </c>
      <c r="H43" s="57">
        <f>SUM(H42)</f>
        <v>0</v>
      </c>
      <c r="I43" s="55" t="s">
        <v>24</v>
      </c>
      <c r="J43" s="57">
        <f>SUM(J42)</f>
        <v>0</v>
      </c>
      <c r="K43" s="55" t="s">
        <v>24</v>
      </c>
      <c r="L43" s="57">
        <f>SUM(L42)</f>
        <v>10000</v>
      </c>
      <c r="M43" s="55" t="s">
        <v>24</v>
      </c>
      <c r="N43" s="57">
        <f>SUM(N42)</f>
        <v>0</v>
      </c>
      <c r="O43" s="55" t="s">
        <v>24</v>
      </c>
      <c r="P43" s="57">
        <f>SUM(P42)</f>
        <v>10000</v>
      </c>
      <c r="Q43" s="55" t="s">
        <v>24</v>
      </c>
      <c r="R43" s="57">
        <f>SUM(R42)</f>
        <v>0</v>
      </c>
      <c r="S43" s="55" t="s">
        <v>24</v>
      </c>
      <c r="T43" s="57">
        <f>SUM(T42)</f>
        <v>0</v>
      </c>
      <c r="U43" s="55" t="s">
        <v>24</v>
      </c>
      <c r="V43" s="57">
        <f>SUM(V42)</f>
        <v>0</v>
      </c>
      <c r="W43" s="56"/>
      <c r="X43" s="72">
        <f>SUM(X42)</f>
        <v>20000</v>
      </c>
    </row>
    <row r="46" spans="1:39">
      <c r="B46" s="34">
        <f>+D12+B20+B27+B37+B43</f>
        <v>125059.43024</v>
      </c>
      <c r="X46" s="30">
        <f>+X12+X20+X27+X37+X43</f>
        <v>125059.43023999999</v>
      </c>
    </row>
    <row r="47" spans="1:39">
      <c r="B47" s="34"/>
      <c r="C47" s="34"/>
    </row>
    <row r="49" spans="2:2">
      <c r="B49" s="3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4"/>
  <sheetViews>
    <sheetView workbookViewId="0"/>
  </sheetViews>
  <sheetFormatPr defaultRowHeight="15"/>
  <sheetData>
    <row r="1" spans="2:15">
      <c r="B1" s="222" t="s">
        <v>46</v>
      </c>
      <c r="C1" s="222"/>
      <c r="D1" s="222"/>
      <c r="E1" s="222"/>
      <c r="F1" s="74"/>
      <c r="G1" s="74"/>
      <c r="H1" s="74"/>
      <c r="I1" s="74"/>
      <c r="J1" s="11"/>
      <c r="K1" s="11"/>
      <c r="L1" s="11"/>
      <c r="M1" s="11"/>
      <c r="N1" s="11"/>
      <c r="O1" s="11"/>
    </row>
    <row r="2" spans="2:15">
      <c r="B2" s="1"/>
      <c r="C2" s="2"/>
      <c r="D2" s="2"/>
      <c r="E2" s="2"/>
      <c r="F2" s="2"/>
      <c r="G2" s="2"/>
      <c r="H2" s="2"/>
      <c r="I2" s="2"/>
    </row>
    <row r="3" spans="2:15">
      <c r="B3" s="75"/>
      <c r="C3" s="76"/>
      <c r="D3" s="76"/>
      <c r="E3" s="76"/>
      <c r="F3" s="76"/>
      <c r="G3" s="76"/>
      <c r="H3" s="76" t="s">
        <v>61</v>
      </c>
      <c r="I3" s="77" t="s">
        <v>62</v>
      </c>
    </row>
    <row r="4" spans="2:15">
      <c r="B4" s="78" t="s">
        <v>47</v>
      </c>
      <c r="C4" s="79" t="s">
        <v>63</v>
      </c>
      <c r="D4" s="79" t="s">
        <v>64</v>
      </c>
      <c r="E4" s="79" t="s">
        <v>65</v>
      </c>
      <c r="F4" s="79" t="s">
        <v>66</v>
      </c>
      <c r="G4" s="79" t="s">
        <v>75</v>
      </c>
      <c r="H4" s="79" t="s">
        <v>20</v>
      </c>
      <c r="I4" s="80" t="s">
        <v>76</v>
      </c>
    </row>
    <row r="5" spans="2:15">
      <c r="B5" s="81">
        <f>'5.Budget_Items'!F2</f>
        <v>1.1000000000000001</v>
      </c>
      <c r="C5" s="109">
        <f>SUM('5.Budget_Items'!F12)</f>
        <v>10655.240564</v>
      </c>
      <c r="D5" s="109">
        <f>SUM('5.Budget_Items'!F20)</f>
        <v>0</v>
      </c>
      <c r="E5" s="109">
        <f>SUM('5.Budget_Items'!F27)</f>
        <v>0</v>
      </c>
      <c r="F5" s="109">
        <f>SUM('5.Budget_Items'!F37)</f>
        <v>800</v>
      </c>
      <c r="G5" s="109">
        <f>SUM('5.Budget_Items'!F43)</f>
        <v>0</v>
      </c>
      <c r="H5" s="110">
        <f>SUM(C5:G5)</f>
        <v>11455.240564</v>
      </c>
      <c r="I5" s="82">
        <f>SUM(H5/H14)</f>
        <v>9.1598374804813906E-2</v>
      </c>
    </row>
    <row r="6" spans="2:15">
      <c r="B6" s="81">
        <f>'5.Budget_Items'!H2</f>
        <v>1.2</v>
      </c>
      <c r="C6" s="111">
        <f>SUM('5.Budget_Items'!H12)</f>
        <v>10655.240564</v>
      </c>
      <c r="D6" s="111">
        <f>SUM('5.Budget_Items'!H20)</f>
        <v>0</v>
      </c>
      <c r="E6" s="111">
        <f>SUM('5.Budget_Items'!H27)</f>
        <v>0</v>
      </c>
      <c r="F6" s="111">
        <f>SUM('5.Budget_Items'!H37)</f>
        <v>800</v>
      </c>
      <c r="G6" s="111">
        <f>SUM('5.Budget_Items'!H43)</f>
        <v>0</v>
      </c>
      <c r="H6" s="112">
        <f t="shared" ref="H6:H13" si="0">SUM(C6:G6)</f>
        <v>11455.240564</v>
      </c>
      <c r="I6" s="82">
        <f>SUM(H6/H14)</f>
        <v>9.1598374804813906E-2</v>
      </c>
    </row>
    <row r="7" spans="2:15">
      <c r="B7" s="81">
        <f>'5.Budget_Items'!J2</f>
        <v>1.3</v>
      </c>
      <c r="C7" s="111">
        <f>SUM('5.Budget_Items'!J12)</f>
        <v>18116.964940000002</v>
      </c>
      <c r="D7" s="111">
        <f>SUM('5.Budget_Items'!J20)</f>
        <v>0</v>
      </c>
      <c r="E7" s="111">
        <f>SUM('5.Budget_Items'!J27)</f>
        <v>0</v>
      </c>
      <c r="F7" s="111">
        <f>SUM('5.Budget_Items'!J37)</f>
        <v>1050</v>
      </c>
      <c r="G7" s="111">
        <f>SUM('5.Budget_Items'!J43)</f>
        <v>0</v>
      </c>
      <c r="H7" s="112">
        <f t="shared" si="0"/>
        <v>19166.964940000002</v>
      </c>
      <c r="I7" s="82">
        <f>SUM(H7/H14)</f>
        <v>0.15326285193541114</v>
      </c>
    </row>
    <row r="8" spans="2:15">
      <c r="B8" s="81">
        <f>'5.Budget_Items'!L2</f>
        <v>1.4</v>
      </c>
      <c r="C8" s="111">
        <f>SUM('5.Budget_Items'!L12)</f>
        <v>12109.616995999999</v>
      </c>
      <c r="D8" s="111">
        <f>SUM('5.Budget_Items'!L20)</f>
        <v>0</v>
      </c>
      <c r="E8" s="111">
        <f>SUM('5.Budget_Items'!L27)</f>
        <v>0</v>
      </c>
      <c r="F8" s="111">
        <f>SUM('5.Budget_Items'!L37)</f>
        <v>700</v>
      </c>
      <c r="G8" s="111">
        <f>SUM('5.Budget_Items'!L43)</f>
        <v>10000</v>
      </c>
      <c r="H8" s="112">
        <f t="shared" si="0"/>
        <v>22809.616995999997</v>
      </c>
      <c r="I8" s="82">
        <f>SUM(H8/H14)</f>
        <v>0.1823902200116084</v>
      </c>
    </row>
    <row r="9" spans="2:15">
      <c r="B9" s="81">
        <f>'5.Budget_Items'!N2</f>
        <v>2.1</v>
      </c>
      <c r="C9" s="111">
        <f>SUM('5.Budget_Items'!N12)</f>
        <v>16662.588508000001</v>
      </c>
      <c r="D9" s="111">
        <f>SUM('5.Budget_Items'!N20)</f>
        <v>0</v>
      </c>
      <c r="E9" s="111">
        <f>SUM('5.Budget_Items'!N27)</f>
        <v>0</v>
      </c>
      <c r="F9" s="111">
        <f>SUM('5.Budget_Items'!N37)</f>
        <v>900</v>
      </c>
      <c r="G9" s="111">
        <f>SUM('5.Budget_Items'!N43)</f>
        <v>0</v>
      </c>
      <c r="H9" s="112">
        <f t="shared" si="0"/>
        <v>17562.588508000001</v>
      </c>
      <c r="I9" s="82">
        <f>SUM(H9/H14)</f>
        <v>0.14043393988198932</v>
      </c>
    </row>
    <row r="10" spans="2:15">
      <c r="B10" s="81">
        <f>'5.Budget_Items'!P2</f>
        <v>2.2000000000000002</v>
      </c>
      <c r="C10" s="111">
        <f>SUM('5.Budget_Items'!P12)</f>
        <v>12204.538103999999</v>
      </c>
      <c r="D10" s="111">
        <f>SUM('5.Budget_Items'!P20)</f>
        <v>0</v>
      </c>
      <c r="E10" s="111">
        <f>SUM('5.Budget_Items'!P27)</f>
        <v>0</v>
      </c>
      <c r="F10" s="111">
        <f>SUM('5.Budget_Items'!P37)</f>
        <v>1150</v>
      </c>
      <c r="G10" s="111">
        <f>SUM('5.Budget_Items'!P43)</f>
        <v>10000</v>
      </c>
      <c r="H10" s="112">
        <f t="shared" si="0"/>
        <v>23354.538103999999</v>
      </c>
      <c r="I10" s="82">
        <f>SUM(H10/H14)</f>
        <v>0.18674751723385108</v>
      </c>
    </row>
    <row r="11" spans="2:15">
      <c r="B11" s="81">
        <f>'5.Budget_Items'!R2</f>
        <v>3.1</v>
      </c>
      <c r="C11" s="111">
        <f>SUM('5.Budget_Items'!R12)</f>
        <v>4552.9715120000001</v>
      </c>
      <c r="D11" s="111">
        <f>SUM('5.Budget_Items'!R20)</f>
        <v>0</v>
      </c>
      <c r="E11" s="111">
        <f>SUM('5.Budget_Items'!R27)</f>
        <v>0</v>
      </c>
      <c r="F11" s="111">
        <f>SUM('5.Budget_Items'!R37)</f>
        <v>700</v>
      </c>
      <c r="G11" s="111">
        <f>SUM('5.Budget_Items'!R43)</f>
        <v>0</v>
      </c>
      <c r="H11" s="112">
        <f t="shared" si="0"/>
        <v>5252.9715120000001</v>
      </c>
      <c r="I11" s="82">
        <f>SUM(H11/H14)</f>
        <v>4.2003801727859204E-2</v>
      </c>
    </row>
    <row r="12" spans="2:15">
      <c r="B12" s="81">
        <f>'5.Budget_Items'!T2</f>
        <v>3.2</v>
      </c>
      <c r="C12" s="111">
        <f>SUM('5.Budget_Items'!T12)</f>
        <v>4552.9715120000001</v>
      </c>
      <c r="D12" s="111">
        <f>SUM('5.Budget_Items'!T20)</f>
        <v>0</v>
      </c>
      <c r="E12" s="111">
        <f>SUM('5.Budget_Items'!T27)</f>
        <v>0</v>
      </c>
      <c r="F12" s="111">
        <f>SUM('5.Budget_Items'!T37)</f>
        <v>6700</v>
      </c>
      <c r="G12" s="111">
        <f>SUM('5.Budget_Items'!T43)</f>
        <v>0</v>
      </c>
      <c r="H12" s="112">
        <f t="shared" si="0"/>
        <v>11252.971512</v>
      </c>
      <c r="I12" s="82">
        <f>SUM(H12/H14)</f>
        <v>8.9980991360703949E-2</v>
      </c>
    </row>
    <row r="13" spans="2:15">
      <c r="B13" s="83">
        <f>'5.Budget_Items'!V2</f>
        <v>3.3</v>
      </c>
      <c r="C13" s="111">
        <f>SUM('5.Budget_Items'!V12)</f>
        <v>1549.2975399999998</v>
      </c>
      <c r="D13" s="111">
        <f>SUM('5.Budget_Items'!V20)</f>
        <v>0</v>
      </c>
      <c r="E13" s="111">
        <f>SUM('5.Budget_Items'!V27)</f>
        <v>0</v>
      </c>
      <c r="F13" s="111">
        <f>SUM('5.Budget_Items'!V37)</f>
        <v>1200</v>
      </c>
      <c r="G13" s="111">
        <f>SUM('5.Budget_Items'!V43)</f>
        <v>0</v>
      </c>
      <c r="H13" s="112">
        <f t="shared" si="0"/>
        <v>2749.2975399999996</v>
      </c>
      <c r="I13" s="82">
        <f>SUM(H13/H14)</f>
        <v>2.1983928238948926E-2</v>
      </c>
    </row>
    <row r="14" spans="2:15">
      <c r="B14" s="84" t="s">
        <v>61</v>
      </c>
      <c r="C14" s="109">
        <f>SUM(C5:C13)</f>
        <v>91059.430240000016</v>
      </c>
      <c r="D14" s="109">
        <f>SUM(D1:D13)</f>
        <v>0</v>
      </c>
      <c r="E14" s="109">
        <f>SUM(E5:E13)</f>
        <v>0</v>
      </c>
      <c r="F14" s="109">
        <f>SUM(F5:F13)</f>
        <v>14000</v>
      </c>
      <c r="G14" s="109">
        <f>SUM(G1:G13)</f>
        <v>20000</v>
      </c>
      <c r="H14" s="110">
        <f>SUM(H5:H13)</f>
        <v>125059.43024000002</v>
      </c>
      <c r="I14" s="82">
        <f>SUM(I5:I13)</f>
        <v>0.99999999999999978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/>
  <sheetData>
    <row r="1" spans="1:6">
      <c r="A1" t="s">
        <v>92</v>
      </c>
    </row>
    <row r="2" spans="1:6">
      <c r="A2" t="s">
        <v>168</v>
      </c>
    </row>
    <row r="3" spans="1:6">
      <c r="A3" t="s">
        <v>179</v>
      </c>
    </row>
    <row r="5" spans="1:6">
      <c r="C5" t="s">
        <v>93</v>
      </c>
      <c r="D5" t="s">
        <v>94</v>
      </c>
      <c r="F5">
        <v>2023</v>
      </c>
    </row>
    <row r="6" spans="1:6">
      <c r="D6" t="s">
        <v>36</v>
      </c>
      <c r="F6" s="114">
        <f>'5.Budget_Items'!C12</f>
        <v>71562</v>
      </c>
    </row>
    <row r="7" spans="1:6">
      <c r="D7" t="s">
        <v>95</v>
      </c>
      <c r="F7" s="114">
        <f>'4.Fringe_Benefits'!B10</f>
        <v>5367.15</v>
      </c>
    </row>
    <row r="8" spans="1:6">
      <c r="D8" t="s">
        <v>96</v>
      </c>
      <c r="F8" s="114">
        <f>'4.Fringe_Benefits'!E10</f>
        <v>3949.3599999999997</v>
      </c>
    </row>
    <row r="9" spans="1:6">
      <c r="D9" t="s">
        <v>97</v>
      </c>
      <c r="F9" s="114">
        <f>'4.Fringe_Benefits'!F10</f>
        <v>1177.2602400000001</v>
      </c>
    </row>
    <row r="10" spans="1:6">
      <c r="D10" t="s">
        <v>16</v>
      </c>
      <c r="F10" s="114">
        <f>'4.Fringe_Benefits'!C10</f>
        <v>1803.6599999999999</v>
      </c>
    </row>
    <row r="11" spans="1:6">
      <c r="D11" t="s">
        <v>17</v>
      </c>
      <c r="F11" s="114">
        <f>'4.Fringe_Benefits'!D10</f>
        <v>7200</v>
      </c>
    </row>
    <row r="12" spans="1:6">
      <c r="F12" s="114"/>
    </row>
    <row r="13" spans="1:6">
      <c r="D13" t="s">
        <v>6</v>
      </c>
      <c r="F13" s="114">
        <f>'5.Budget_Items'!B20</f>
        <v>0</v>
      </c>
    </row>
    <row r="14" spans="1:6">
      <c r="D14" t="s">
        <v>11</v>
      </c>
      <c r="F14" s="114">
        <f>'5.Budget_Items'!B27</f>
        <v>0</v>
      </c>
    </row>
    <row r="15" spans="1:6">
      <c r="F15" s="114"/>
    </row>
    <row r="16" spans="1:6">
      <c r="D16" s="4" t="s">
        <v>77</v>
      </c>
      <c r="F16" s="114">
        <f>'5.Budget_Items'!B32</f>
        <v>500</v>
      </c>
    </row>
    <row r="17" spans="4:8">
      <c r="D17" s="4" t="s">
        <v>78</v>
      </c>
      <c r="F17" s="114">
        <f>'5.Budget_Items'!B33</f>
        <v>1000</v>
      </c>
    </row>
    <row r="18" spans="4:8">
      <c r="D18" s="4" t="s">
        <v>79</v>
      </c>
      <c r="F18" s="114">
        <f>'5.Budget_Items'!B34</f>
        <v>7000</v>
      </c>
    </row>
    <row r="19" spans="4:8">
      <c r="D19" s="4" t="s">
        <v>91</v>
      </c>
      <c r="F19" s="114">
        <f>'5.Budget_Items'!B35</f>
        <v>500</v>
      </c>
    </row>
    <row r="20" spans="4:8">
      <c r="D20" s="4" t="s">
        <v>163</v>
      </c>
      <c r="F20" s="114">
        <f>'5.Budget_Items'!B36</f>
        <v>5000</v>
      </c>
    </row>
    <row r="21" spans="4:8">
      <c r="F21" s="114"/>
    </row>
    <row r="22" spans="4:8" ht="100.5">
      <c r="D22" s="106" t="s">
        <v>167</v>
      </c>
      <c r="F22" s="114">
        <f>+'5.Budget_Items'!B42</f>
        <v>20000</v>
      </c>
    </row>
    <row r="23" spans="4:8">
      <c r="F23" s="114">
        <f>SUM(F6:F22)</f>
        <v>125059.43024</v>
      </c>
    </row>
    <row r="24" spans="4:8">
      <c r="H24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1.Directions</vt:lpstr>
      <vt:lpstr>2.Performance_Items</vt:lpstr>
      <vt:lpstr>rev_exp</vt:lpstr>
      <vt:lpstr>3.Pay Level</vt:lpstr>
      <vt:lpstr>4.Fringe_Benefits</vt:lpstr>
      <vt:lpstr>5.Budget_Items</vt:lpstr>
      <vt:lpstr>Activity Cost</vt:lpstr>
      <vt:lpstr>Pay Levels</vt:lpstr>
      <vt:lpstr>line item</vt:lpstr>
      <vt:lpstr>Summary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Researcher</dc:title>
  <dc:subject>Budget Workbook</dc:subject>
  <dc:creator>William Haglelgam</dc:creator>
  <cp:keywords>Performance Budget</cp:keywords>
  <cp:lastModifiedBy>Maridell Edwin</cp:lastModifiedBy>
  <cp:lastPrinted>2015-10-25T23:38:54Z</cp:lastPrinted>
  <dcterms:created xsi:type="dcterms:W3CDTF">2010-04-21T01:18:24Z</dcterms:created>
  <dcterms:modified xsi:type="dcterms:W3CDTF">2021-11-25T23:56:04Z</dcterms:modified>
  <cp:category>Budget</cp:category>
  <cp:contentStatus>New</cp:contentStatus>
</cp:coreProperties>
</file>