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User Maridell\Desktop\Online-COMFSM\Agenda-Dec-03-2020\"/>
    </mc:Choice>
  </mc:AlternateContent>
  <bookViews>
    <workbookView xWindow="0" yWindow="0" windowWidth="12645" windowHeight="9885" tabRatio="670" firstSheet="11" activeTab="12"/>
  </bookViews>
  <sheets>
    <sheet name="National" sheetId="55" state="hidden" r:id="rId1"/>
    <sheet name="Pohnpei" sheetId="56" state="hidden" r:id="rId2"/>
    <sheet name="chuuk" sheetId="57" state="hidden" r:id="rId3"/>
    <sheet name="Yap" sheetId="58" state="hidden" r:id="rId4"/>
    <sheet name="Campus" sheetId="62" state="hidden" r:id="rId5"/>
    <sheet name="Summary" sheetId="52" state="hidden" r:id="rId6"/>
    <sheet name="Proj Rev " sheetId="49" state="hidden" r:id="rId7"/>
    <sheet name="Per Campus" sheetId="54" state="hidden" r:id="rId8"/>
    <sheet name="Credit projection" sheetId="61" state="hidden" r:id="rId9"/>
    <sheet name="Revenue Projection" sheetId="63" state="hidden" r:id="rId10"/>
    <sheet name="Proj Rev (2022) -6yr average " sheetId="69" state="hidden" r:id="rId11"/>
    <sheet name="Proj Rev (2022) -6yr(12-12-6) " sheetId="67" r:id="rId12"/>
    <sheet name="2022" sheetId="47" r:id="rId13"/>
    <sheet name="Adjustment 2022" sheetId="68" r:id="rId14"/>
    <sheet name="Adjustment" sheetId="64" state="hidden" r:id="rId15"/>
    <sheet name="Adjustment (4% increase)" sheetId="65" state="hidden" r:id="rId16"/>
    <sheet name="Adjustment (3% increase)" sheetId="66" state="hidden" r:id="rId17"/>
    <sheet name="Sheet1" sheetId="60" state="hidden" r:id="rId18"/>
    <sheet name="Kosrae" sheetId="53" state="hidden" r:id="rId19"/>
    <sheet name="exp line dept (2015-2017)" sheetId="48" state="hidden" r:id="rId20"/>
    <sheet name="exp line dept(2016)" sheetId="50" state="hidden" r:id="rId21"/>
    <sheet name="exp_line office" sheetId="46" state="hidden" r:id="rId22"/>
    <sheet name="Summer Rev &amp; Exp" sheetId="51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_xlnm.Print_Area" localSheetId="12">'2022'!$B$1:$N$78</definedName>
    <definedName name="_xlnm.Print_Area" localSheetId="5">Summary!$A$1:$I$30</definedName>
    <definedName name="_xlnm.Print_Titles" localSheetId="9">'Revenue Projection'!$1:$2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47" l="1"/>
  <c r="L49" i="68"/>
  <c r="K49" i="68"/>
  <c r="J49" i="68"/>
  <c r="I49" i="68"/>
  <c r="H49" i="68"/>
  <c r="G49" i="68"/>
  <c r="F49" i="68"/>
  <c r="E49" i="68"/>
  <c r="D49" i="68"/>
  <c r="C49" i="68"/>
  <c r="M49" i="68"/>
  <c r="M48" i="68"/>
  <c r="L78" i="47" l="1"/>
  <c r="K78" i="47"/>
  <c r="I78" i="47"/>
  <c r="H78" i="47"/>
  <c r="G78" i="47"/>
  <c r="F78" i="47"/>
  <c r="E78" i="47"/>
  <c r="D78" i="47"/>
  <c r="C78" i="47"/>
  <c r="M47" i="68" l="1"/>
  <c r="J44" i="68"/>
  <c r="J29" i="47" l="1"/>
  <c r="I65" i="47" l="1"/>
  <c r="M46" i="68" l="1"/>
  <c r="M45" i="68"/>
  <c r="M44" i="68"/>
  <c r="M43" i="68"/>
  <c r="M42" i="68"/>
  <c r="M41" i="68" l="1"/>
  <c r="M40" i="68"/>
  <c r="M38" i="68" l="1"/>
  <c r="M37" i="68"/>
  <c r="M39" i="68" l="1"/>
  <c r="M36" i="68"/>
  <c r="M35" i="68" l="1"/>
  <c r="M34" i="68" l="1"/>
  <c r="M33" i="68" l="1"/>
  <c r="M32" i="68" l="1"/>
  <c r="M31" i="68" l="1"/>
  <c r="M30" i="68" l="1"/>
  <c r="M29" i="68" l="1"/>
  <c r="M28" i="68" l="1"/>
  <c r="M27" i="68" l="1"/>
  <c r="M26" i="68" l="1"/>
  <c r="M25" i="68" l="1"/>
  <c r="E92" i="69" l="1"/>
  <c r="E97" i="69" s="1"/>
  <c r="D92" i="69"/>
  <c r="D97" i="69" s="1"/>
  <c r="C92" i="69"/>
  <c r="E91" i="69"/>
  <c r="E96" i="69" s="1"/>
  <c r="D91" i="69"/>
  <c r="C91" i="69"/>
  <c r="E54" i="69"/>
  <c r="E63" i="69" s="1"/>
  <c r="E71" i="69" s="1"/>
  <c r="D54" i="69"/>
  <c r="C54" i="69"/>
  <c r="E53" i="69"/>
  <c r="E62" i="69" s="1"/>
  <c r="E70" i="69" s="1"/>
  <c r="D53" i="69"/>
  <c r="D62" i="69" s="1"/>
  <c r="D70" i="69" s="1"/>
  <c r="C53" i="69"/>
  <c r="E52" i="69"/>
  <c r="E61" i="69" s="1"/>
  <c r="E69" i="69" s="1"/>
  <c r="D52" i="69"/>
  <c r="C52" i="69"/>
  <c r="C61" i="69" s="1"/>
  <c r="E51" i="69"/>
  <c r="D51" i="69"/>
  <c r="D60" i="69" s="1"/>
  <c r="D68" i="69" s="1"/>
  <c r="C51" i="69"/>
  <c r="E50" i="69"/>
  <c r="E59" i="69" s="1"/>
  <c r="D50" i="69"/>
  <c r="C50" i="69"/>
  <c r="C59" i="69" s="1"/>
  <c r="L46" i="69"/>
  <c r="K46" i="69"/>
  <c r="J46" i="69"/>
  <c r="E35" i="69"/>
  <c r="E80" i="69" s="1"/>
  <c r="D35" i="69"/>
  <c r="D80" i="69" s="1"/>
  <c r="C35" i="69"/>
  <c r="E34" i="69"/>
  <c r="E79" i="69" s="1"/>
  <c r="D34" i="69"/>
  <c r="C34" i="69"/>
  <c r="E33" i="69"/>
  <c r="E78" i="69" s="1"/>
  <c r="D33" i="69"/>
  <c r="D78" i="69" s="1"/>
  <c r="C33" i="69"/>
  <c r="E32" i="69"/>
  <c r="E77" i="69" s="1"/>
  <c r="D32" i="69"/>
  <c r="D77" i="69" s="1"/>
  <c r="C32" i="69"/>
  <c r="E31" i="69"/>
  <c r="D31" i="69"/>
  <c r="C31" i="69"/>
  <c r="F26" i="69"/>
  <c r="G18" i="69"/>
  <c r="G26" i="69" s="1"/>
  <c r="L5" i="69"/>
  <c r="H24" i="69" s="1"/>
  <c r="L4" i="69"/>
  <c r="H23" i="69" s="1"/>
  <c r="C41" i="69" l="1"/>
  <c r="C45" i="69"/>
  <c r="C44" i="69"/>
  <c r="C43" i="69"/>
  <c r="F51" i="69"/>
  <c r="F32" i="69"/>
  <c r="E41" i="69"/>
  <c r="E44" i="69"/>
  <c r="D36" i="69"/>
  <c r="E36" i="69"/>
  <c r="D93" i="69"/>
  <c r="D44" i="69"/>
  <c r="E45" i="69"/>
  <c r="F54" i="69"/>
  <c r="D43" i="69"/>
  <c r="D79" i="69"/>
  <c r="F31" i="69"/>
  <c r="F33" i="69"/>
  <c r="F34" i="69"/>
  <c r="F35" i="69"/>
  <c r="E42" i="69"/>
  <c r="C63" i="69"/>
  <c r="C71" i="69" s="1"/>
  <c r="C42" i="69"/>
  <c r="C55" i="69"/>
  <c r="C60" i="69"/>
  <c r="C68" i="69" s="1"/>
  <c r="C76" i="69"/>
  <c r="C78" i="69"/>
  <c r="F78" i="69" s="1"/>
  <c r="C80" i="69"/>
  <c r="F80" i="69" s="1"/>
  <c r="D41" i="69"/>
  <c r="F53" i="69"/>
  <c r="D45" i="69"/>
  <c r="D76" i="69"/>
  <c r="D81" i="69" s="1"/>
  <c r="F92" i="69"/>
  <c r="F52" i="69"/>
  <c r="C62" i="69"/>
  <c r="C70" i="69" s="1"/>
  <c r="F70" i="69" s="1"/>
  <c r="C77" i="69"/>
  <c r="F77" i="69" s="1"/>
  <c r="C79" i="69"/>
  <c r="F91" i="69"/>
  <c r="E98" i="69"/>
  <c r="E67" i="69"/>
  <c r="D55" i="69"/>
  <c r="C67" i="69"/>
  <c r="C69" i="69"/>
  <c r="C93" i="69"/>
  <c r="C96" i="69"/>
  <c r="C97" i="69"/>
  <c r="F97" i="69" s="1"/>
  <c r="C36" i="69"/>
  <c r="E55" i="69"/>
  <c r="D59" i="69"/>
  <c r="D61" i="69"/>
  <c r="D69" i="69" s="1"/>
  <c r="D63" i="69"/>
  <c r="D71" i="69" s="1"/>
  <c r="D96" i="69"/>
  <c r="D98" i="69" s="1"/>
  <c r="D42" i="69"/>
  <c r="E43" i="69"/>
  <c r="F50" i="69"/>
  <c r="E60" i="69"/>
  <c r="E68" i="69" s="1"/>
  <c r="E76" i="69"/>
  <c r="E81" i="69" s="1"/>
  <c r="E93" i="69"/>
  <c r="F93" i="69" l="1"/>
  <c r="F79" i="69"/>
  <c r="C46" i="69"/>
  <c r="E46" i="69"/>
  <c r="F63" i="69"/>
  <c r="F62" i="69"/>
  <c r="F69" i="69"/>
  <c r="C64" i="69"/>
  <c r="F36" i="69"/>
  <c r="F37" i="69" s="1"/>
  <c r="C81" i="69"/>
  <c r="D46" i="69"/>
  <c r="F55" i="69"/>
  <c r="F56" i="69" s="1"/>
  <c r="F71" i="69"/>
  <c r="F68" i="69"/>
  <c r="E64" i="69"/>
  <c r="F61" i="69"/>
  <c r="D64" i="69"/>
  <c r="D67" i="69"/>
  <c r="D72" i="69" s="1"/>
  <c r="F96" i="69"/>
  <c r="F98" i="69" s="1"/>
  <c r="H17" i="69" s="1"/>
  <c r="C98" i="69"/>
  <c r="F76" i="69"/>
  <c r="F81" i="69" s="1"/>
  <c r="H16" i="69" s="1"/>
  <c r="F67" i="69"/>
  <c r="C72" i="69"/>
  <c r="E72" i="69"/>
  <c r="F60" i="69"/>
  <c r="F59" i="69"/>
  <c r="F64" i="69" l="1"/>
  <c r="F72" i="69"/>
  <c r="H15" i="69" s="1"/>
  <c r="H18" i="69" s="1"/>
  <c r="L3" i="69" s="1"/>
  <c r="L7" i="69" s="1"/>
  <c r="H26" i="69" l="1"/>
  <c r="I24" i="68"/>
  <c r="M24" i="68" s="1"/>
  <c r="M23" i="68"/>
  <c r="I36" i="47"/>
  <c r="P12" i="68" l="1"/>
  <c r="M22" i="68" l="1"/>
  <c r="M21" i="68" l="1"/>
  <c r="I20" i="68" l="1"/>
  <c r="I8" i="68"/>
  <c r="P8" i="68"/>
  <c r="O8" i="68"/>
  <c r="M20" i="68" l="1"/>
  <c r="M19" i="68"/>
  <c r="L10" i="68" l="1"/>
  <c r="L9" i="68"/>
  <c r="I21" i="47" l="1"/>
  <c r="I20" i="47" l="1"/>
  <c r="M18" i="68" l="1"/>
  <c r="M17" i="68"/>
  <c r="M16" i="68"/>
  <c r="M15" i="68"/>
  <c r="M14" i="68"/>
  <c r="M13" i="68"/>
  <c r="M12" i="68"/>
  <c r="M11" i="68"/>
  <c r="M10" i="68"/>
  <c r="M9" i="68"/>
  <c r="M8" i="68"/>
  <c r="M7" i="68"/>
  <c r="M6" i="68"/>
  <c r="M5" i="68"/>
  <c r="N16" i="68" l="1"/>
  <c r="M55" i="68"/>
  <c r="L5" i="67"/>
  <c r="H24" i="67" s="1"/>
  <c r="L4" i="67" l="1"/>
  <c r="H23" i="67" s="1"/>
  <c r="E92" i="67" l="1"/>
  <c r="D92" i="67"/>
  <c r="D97" i="67" s="1"/>
  <c r="C92" i="67"/>
  <c r="C97" i="67" s="1"/>
  <c r="E91" i="67"/>
  <c r="D91" i="67"/>
  <c r="D96" i="67" s="1"/>
  <c r="C91" i="67"/>
  <c r="C96" i="67" s="1"/>
  <c r="L46" i="67"/>
  <c r="K46" i="67"/>
  <c r="J46" i="67"/>
  <c r="E35" i="67"/>
  <c r="E54" i="67" s="1"/>
  <c r="E63" i="67" s="1"/>
  <c r="E71" i="67" s="1"/>
  <c r="D35" i="67"/>
  <c r="D54" i="67" s="1"/>
  <c r="D63" i="67" s="1"/>
  <c r="D71" i="67" s="1"/>
  <c r="C35" i="67"/>
  <c r="E34" i="67"/>
  <c r="E53" i="67" s="1"/>
  <c r="E62" i="67" s="1"/>
  <c r="E70" i="67" s="1"/>
  <c r="D34" i="67"/>
  <c r="D53" i="67" s="1"/>
  <c r="D62" i="67" s="1"/>
  <c r="D70" i="67" s="1"/>
  <c r="C34" i="67"/>
  <c r="E33" i="67"/>
  <c r="D33" i="67"/>
  <c r="D52" i="67" s="1"/>
  <c r="D61" i="67" s="1"/>
  <c r="D69" i="67" s="1"/>
  <c r="C33" i="67"/>
  <c r="E32" i="67"/>
  <c r="E51" i="67" s="1"/>
  <c r="E60" i="67" s="1"/>
  <c r="E68" i="67" s="1"/>
  <c r="D32" i="67"/>
  <c r="D51" i="67" s="1"/>
  <c r="D60" i="67" s="1"/>
  <c r="D68" i="67" s="1"/>
  <c r="C32" i="67"/>
  <c r="E31" i="67"/>
  <c r="E50" i="67" s="1"/>
  <c r="E59" i="67" s="1"/>
  <c r="E67" i="67" s="1"/>
  <c r="D31" i="67"/>
  <c r="D50" i="67" s="1"/>
  <c r="D59" i="67" s="1"/>
  <c r="C31" i="67"/>
  <c r="G26" i="67"/>
  <c r="F26" i="67"/>
  <c r="G18" i="67"/>
  <c r="C76" i="67" l="1"/>
  <c r="C50" i="67"/>
  <c r="C59" i="67" s="1"/>
  <c r="C67" i="67" s="1"/>
  <c r="E78" i="67"/>
  <c r="E52" i="67"/>
  <c r="E55" i="67" s="1"/>
  <c r="C78" i="67"/>
  <c r="C52" i="67"/>
  <c r="C61" i="67" s="1"/>
  <c r="C80" i="67"/>
  <c r="C54" i="67"/>
  <c r="C63" i="67" s="1"/>
  <c r="C71" i="67" s="1"/>
  <c r="F71" i="67" s="1"/>
  <c r="C79" i="67"/>
  <c r="C53" i="67"/>
  <c r="C62" i="67" s="1"/>
  <c r="C70" i="67" s="1"/>
  <c r="F70" i="67" s="1"/>
  <c r="C77" i="67"/>
  <c r="C51" i="67"/>
  <c r="C60" i="67" s="1"/>
  <c r="E76" i="67"/>
  <c r="F92" i="67"/>
  <c r="C36" i="67"/>
  <c r="F91" i="67"/>
  <c r="E97" i="67"/>
  <c r="F97" i="67" s="1"/>
  <c r="E46" i="67"/>
  <c r="E80" i="67"/>
  <c r="D76" i="67"/>
  <c r="F31" i="67"/>
  <c r="D80" i="67"/>
  <c r="F35" i="67"/>
  <c r="E93" i="67"/>
  <c r="D79" i="67"/>
  <c r="F34" i="67"/>
  <c r="E96" i="67"/>
  <c r="D78" i="67"/>
  <c r="F33" i="67"/>
  <c r="D36" i="67"/>
  <c r="D67" i="67"/>
  <c r="D72" i="67" s="1"/>
  <c r="D64" i="67"/>
  <c r="E77" i="67"/>
  <c r="E79" i="67"/>
  <c r="C98" i="67"/>
  <c r="D77" i="67"/>
  <c r="F32" i="67"/>
  <c r="E36" i="67"/>
  <c r="D98" i="67"/>
  <c r="D55" i="67"/>
  <c r="C93" i="67"/>
  <c r="D93" i="67"/>
  <c r="E98" i="67" l="1"/>
  <c r="F93" i="67"/>
  <c r="F53" i="67"/>
  <c r="E61" i="67"/>
  <c r="E69" i="67" s="1"/>
  <c r="E72" i="67" s="1"/>
  <c r="F51" i="67"/>
  <c r="C55" i="67"/>
  <c r="F59" i="67"/>
  <c r="F50" i="67"/>
  <c r="C81" i="67"/>
  <c r="F62" i="67"/>
  <c r="F63" i="67"/>
  <c r="F52" i="67"/>
  <c r="F78" i="67"/>
  <c r="F54" i="67"/>
  <c r="E81" i="67"/>
  <c r="F80" i="67"/>
  <c r="C46" i="67"/>
  <c r="F77" i="67"/>
  <c r="C69" i="67"/>
  <c r="F61" i="67"/>
  <c r="C64" i="67"/>
  <c r="D81" i="67"/>
  <c r="F76" i="67"/>
  <c r="C68" i="67"/>
  <c r="F68" i="67" s="1"/>
  <c r="F60" i="67"/>
  <c r="F67" i="67"/>
  <c r="F79" i="67"/>
  <c r="D46" i="67"/>
  <c r="F96" i="67"/>
  <c r="F98" i="67" s="1"/>
  <c r="H17" i="67" s="1"/>
  <c r="F36" i="67"/>
  <c r="F37" i="67" s="1"/>
  <c r="F69" i="67" l="1"/>
  <c r="F72" i="67" s="1"/>
  <c r="H15" i="67" s="1"/>
  <c r="E64" i="67"/>
  <c r="F55" i="67"/>
  <c r="F56" i="67" s="1"/>
  <c r="C72" i="67"/>
  <c r="F64" i="67"/>
  <c r="F81" i="67"/>
  <c r="H16" i="67" s="1"/>
  <c r="H18" i="67" l="1"/>
  <c r="H26" i="67" l="1"/>
  <c r="J26" i="67" s="1"/>
  <c r="L3" i="67"/>
  <c r="L7" i="67" s="1"/>
  <c r="L45" i="47" l="1"/>
  <c r="M45" i="47" s="1"/>
  <c r="V45" i="47" s="1"/>
  <c r="L54" i="47"/>
  <c r="L52" i="47"/>
  <c r="M52" i="47" s="1"/>
  <c r="L51" i="47"/>
  <c r="L50" i="47"/>
  <c r="L49" i="47"/>
  <c r="L42" i="47"/>
  <c r="L53" i="47"/>
  <c r="L37" i="47"/>
  <c r="L32" i="47"/>
  <c r="L31" i="47"/>
  <c r="L30" i="47"/>
  <c r="M30" i="47" s="1"/>
  <c r="V30" i="47" s="1"/>
  <c r="L29" i="47"/>
  <c r="L24" i="47"/>
  <c r="L27" i="47" s="1"/>
  <c r="L15" i="47"/>
  <c r="L14" i="47"/>
  <c r="L13" i="47"/>
  <c r="L12" i="47"/>
  <c r="L11" i="47"/>
  <c r="L8" i="47"/>
  <c r="L7" i="47"/>
  <c r="L6" i="47"/>
  <c r="K6" i="47"/>
  <c r="K7" i="47"/>
  <c r="K8" i="47"/>
  <c r="K11" i="47"/>
  <c r="K12" i="47"/>
  <c r="K13" i="47"/>
  <c r="K14" i="47"/>
  <c r="K15" i="47"/>
  <c r="K17" i="47"/>
  <c r="M17" i="47" s="1"/>
  <c r="K21" i="47"/>
  <c r="K22" i="47" s="1"/>
  <c r="K24" i="47"/>
  <c r="K25" i="47"/>
  <c r="K26" i="47"/>
  <c r="M26" i="47" s="1"/>
  <c r="K39" i="47"/>
  <c r="K40" i="47"/>
  <c r="K53" i="47"/>
  <c r="K54" i="47"/>
  <c r="K60" i="47"/>
  <c r="M64" i="47"/>
  <c r="V64" i="47" s="1"/>
  <c r="K66" i="47"/>
  <c r="M66" i="47" s="1"/>
  <c r="J6" i="47"/>
  <c r="J7" i="47"/>
  <c r="J8" i="47"/>
  <c r="J11" i="47"/>
  <c r="J12" i="47"/>
  <c r="J13" i="47"/>
  <c r="J14" i="47"/>
  <c r="J15" i="47"/>
  <c r="J21" i="47"/>
  <c r="J22" i="47" s="1"/>
  <c r="J31" i="47"/>
  <c r="J32" i="47"/>
  <c r="J34" i="47"/>
  <c r="M34" i="47" s="1"/>
  <c r="V34" i="47" s="1"/>
  <c r="J35" i="47"/>
  <c r="J38" i="47"/>
  <c r="M38" i="47" s="1"/>
  <c r="J43" i="47"/>
  <c r="J44" i="47"/>
  <c r="M44" i="47" s="1"/>
  <c r="J46" i="47"/>
  <c r="J49" i="47"/>
  <c r="J50" i="47"/>
  <c r="J51" i="47"/>
  <c r="J53" i="47"/>
  <c r="J54" i="47"/>
  <c r="J60" i="47"/>
  <c r="J63" i="47"/>
  <c r="J67" i="47" s="1"/>
  <c r="I6" i="47"/>
  <c r="I7" i="47"/>
  <c r="I8" i="47"/>
  <c r="I11" i="47"/>
  <c r="I12" i="47"/>
  <c r="I13" i="47"/>
  <c r="I14" i="47"/>
  <c r="I15" i="47"/>
  <c r="I22" i="47"/>
  <c r="I24" i="47"/>
  <c r="I27" i="47" s="1"/>
  <c r="I29" i="47"/>
  <c r="I31" i="47"/>
  <c r="I32" i="47"/>
  <c r="I35" i="47"/>
  <c r="I49" i="47"/>
  <c r="I60" i="47"/>
  <c r="H6" i="47"/>
  <c r="H7" i="47"/>
  <c r="H8" i="47"/>
  <c r="H11" i="47"/>
  <c r="H12" i="47"/>
  <c r="H13" i="47"/>
  <c r="H14" i="47"/>
  <c r="H15" i="47"/>
  <c r="H21" i="47"/>
  <c r="H22" i="47" s="1"/>
  <c r="H24" i="47"/>
  <c r="H27" i="47" s="1"/>
  <c r="H29" i="47"/>
  <c r="H32" i="47"/>
  <c r="H39" i="47"/>
  <c r="H40" i="47"/>
  <c r="H42" i="47"/>
  <c r="J40" i="46" s="1"/>
  <c r="H46" i="47"/>
  <c r="H53" i="47"/>
  <c r="H60" i="47"/>
  <c r="J55" i="46" s="1"/>
  <c r="G6" i="47"/>
  <c r="G7" i="47"/>
  <c r="G8" i="47"/>
  <c r="G11" i="47"/>
  <c r="G12" i="47"/>
  <c r="G13" i="47"/>
  <c r="G14" i="47"/>
  <c r="G15" i="47"/>
  <c r="G24" i="47"/>
  <c r="G27" i="47" s="1"/>
  <c r="G29" i="47"/>
  <c r="G31" i="47"/>
  <c r="G32" i="47"/>
  <c r="G37" i="47"/>
  <c r="G39" i="47"/>
  <c r="G40" i="47"/>
  <c r="G42" i="47"/>
  <c r="G46" i="47"/>
  <c r="G53" i="47"/>
  <c r="G63" i="47"/>
  <c r="G67" i="47" s="1"/>
  <c r="F6" i="47"/>
  <c r="F7" i="47"/>
  <c r="F8" i="47"/>
  <c r="F11" i="47"/>
  <c r="F12" i="47"/>
  <c r="F13" i="47"/>
  <c r="F14" i="47"/>
  <c r="F15" i="47"/>
  <c r="F29" i="47"/>
  <c r="F31" i="47"/>
  <c r="F32" i="47"/>
  <c r="F35" i="47"/>
  <c r="F39" i="47"/>
  <c r="F40" i="47"/>
  <c r="F42" i="47"/>
  <c r="F46" i="47"/>
  <c r="F48" i="47"/>
  <c r="M48" i="47" s="1"/>
  <c r="F60" i="47"/>
  <c r="E6" i="47"/>
  <c r="E7" i="47"/>
  <c r="E8" i="47"/>
  <c r="E11" i="47"/>
  <c r="E12" i="47"/>
  <c r="E13" i="47"/>
  <c r="E14" i="47"/>
  <c r="E15" i="47"/>
  <c r="E29" i="47"/>
  <c r="E31" i="47"/>
  <c r="E32" i="47"/>
  <c r="E39" i="47"/>
  <c r="E40" i="47"/>
  <c r="E43" i="47"/>
  <c r="E46" i="47"/>
  <c r="E49" i="47"/>
  <c r="E60" i="47"/>
  <c r="C6" i="47"/>
  <c r="C6" i="46" s="1"/>
  <c r="C7" i="47"/>
  <c r="C8" i="47"/>
  <c r="C8" i="46" s="1"/>
  <c r="C11" i="47"/>
  <c r="C10" i="46" s="1"/>
  <c r="C12" i="47"/>
  <c r="C11" i="46" s="1"/>
  <c r="C13" i="47"/>
  <c r="C12" i="46" s="1"/>
  <c r="C14" i="47"/>
  <c r="C13" i="46" s="1"/>
  <c r="C15" i="47"/>
  <c r="C20" i="47"/>
  <c r="M20" i="47" s="1"/>
  <c r="V20" i="47" s="1"/>
  <c r="C21" i="47"/>
  <c r="C21" i="46" s="1"/>
  <c r="C24" i="47"/>
  <c r="C24" i="46" s="1"/>
  <c r="C27" i="46" s="1"/>
  <c r="C25" i="47"/>
  <c r="C29" i="47"/>
  <c r="C31" i="47"/>
  <c r="C31" i="46" s="1"/>
  <c r="C49" i="47"/>
  <c r="C46" i="46" s="1"/>
  <c r="C54" i="47"/>
  <c r="C51" i="46" s="1"/>
  <c r="C55" i="47"/>
  <c r="C52" i="46" s="1"/>
  <c r="AR52" i="46" s="1"/>
  <c r="C56" i="47"/>
  <c r="M56" i="47" s="1"/>
  <c r="V56" i="47" s="1"/>
  <c r="C60" i="47"/>
  <c r="C55" i="46" s="1"/>
  <c r="C65" i="47"/>
  <c r="C67" i="47" s="1"/>
  <c r="M59" i="47"/>
  <c r="V59" i="47"/>
  <c r="M58" i="47"/>
  <c r="V58" i="47"/>
  <c r="M57" i="47"/>
  <c r="V57" i="47"/>
  <c r="M47" i="47"/>
  <c r="V47" i="47"/>
  <c r="M41" i="47"/>
  <c r="V41" i="47"/>
  <c r="M36" i="47"/>
  <c r="V36" i="47" s="1"/>
  <c r="M33" i="47"/>
  <c r="V33" i="47"/>
  <c r="M16" i="47"/>
  <c r="V16" i="47"/>
  <c r="M10" i="47"/>
  <c r="V10" i="47" s="1"/>
  <c r="M9" i="47"/>
  <c r="V9" i="47"/>
  <c r="L22" i="47"/>
  <c r="L67" i="47"/>
  <c r="J27" i="47"/>
  <c r="I67" i="47"/>
  <c r="H67" i="47"/>
  <c r="G22" i="47"/>
  <c r="F22" i="47"/>
  <c r="F27" i="47"/>
  <c r="F67" i="47"/>
  <c r="E22" i="47"/>
  <c r="E27" i="47"/>
  <c r="E67" i="47"/>
  <c r="E32" i="64"/>
  <c r="F32" i="64"/>
  <c r="P15" i="64"/>
  <c r="P10" i="64"/>
  <c r="D10" i="64"/>
  <c r="O24" i="64"/>
  <c r="D24" i="64"/>
  <c r="O17" i="64"/>
  <c r="D13" i="64"/>
  <c r="O13" i="64"/>
  <c r="O10" i="64"/>
  <c r="D6" i="64"/>
  <c r="N23" i="64"/>
  <c r="D23" i="64"/>
  <c r="D20" i="64"/>
  <c r="N20" i="64"/>
  <c r="N18" i="64"/>
  <c r="D18" i="64"/>
  <c r="M9" i="64"/>
  <c r="D9" i="64"/>
  <c r="M7" i="64"/>
  <c r="D7" i="64"/>
  <c r="D22" i="64"/>
  <c r="D12" i="64"/>
  <c r="D24" i="66"/>
  <c r="D20" i="66"/>
  <c r="D13" i="66"/>
  <c r="D10" i="66"/>
  <c r="O23" i="66"/>
  <c r="O23" i="65"/>
  <c r="D32" i="66"/>
  <c r="D34" i="66" s="1"/>
  <c r="N30" i="66"/>
  <c r="L30" i="66"/>
  <c r="K30" i="66"/>
  <c r="J30" i="66"/>
  <c r="I30" i="66"/>
  <c r="H30" i="66"/>
  <c r="G30" i="66"/>
  <c r="F30" i="66"/>
  <c r="O26" i="66"/>
  <c r="P26" i="66"/>
  <c r="P25" i="66"/>
  <c r="P24" i="66"/>
  <c r="P23" i="66"/>
  <c r="P22" i="66"/>
  <c r="P21" i="66"/>
  <c r="P20" i="66"/>
  <c r="P19" i="66"/>
  <c r="P18" i="66"/>
  <c r="P14" i="66"/>
  <c r="P13" i="66"/>
  <c r="P12" i="66"/>
  <c r="P11" i="66"/>
  <c r="P10" i="66"/>
  <c r="P9" i="66"/>
  <c r="M30" i="66"/>
  <c r="P7" i="66"/>
  <c r="P6" i="66"/>
  <c r="D32" i="65"/>
  <c r="D34" i="65" s="1"/>
  <c r="N30" i="65"/>
  <c r="L30" i="65"/>
  <c r="K30" i="65"/>
  <c r="J30" i="65"/>
  <c r="I30" i="65"/>
  <c r="H30" i="65"/>
  <c r="G30" i="65"/>
  <c r="F30" i="65"/>
  <c r="O26" i="65"/>
  <c r="P26" i="65"/>
  <c r="P25" i="65"/>
  <c r="P24" i="65"/>
  <c r="P23" i="65"/>
  <c r="P22" i="65"/>
  <c r="P21" i="65"/>
  <c r="P20" i="65"/>
  <c r="P19" i="65"/>
  <c r="P18" i="65"/>
  <c r="P14" i="65"/>
  <c r="P13" i="65"/>
  <c r="P12" i="65"/>
  <c r="P11" i="65"/>
  <c r="P10" i="65"/>
  <c r="P9" i="65"/>
  <c r="M30" i="65"/>
  <c r="P7" i="65"/>
  <c r="P6" i="65"/>
  <c r="O30" i="66"/>
  <c r="O30" i="65"/>
  <c r="Q26" i="64"/>
  <c r="R26" i="64"/>
  <c r="Q25" i="64"/>
  <c r="R25" i="64"/>
  <c r="Q24" i="64"/>
  <c r="R24" i="64"/>
  <c r="Q23" i="64"/>
  <c r="R23" i="64"/>
  <c r="Q22" i="64"/>
  <c r="R22" i="64"/>
  <c r="Q21" i="64"/>
  <c r="R21" i="64"/>
  <c r="Q20" i="64"/>
  <c r="R20" i="64"/>
  <c r="D32" i="64"/>
  <c r="M82" i="47"/>
  <c r="P30" i="64"/>
  <c r="O30" i="64"/>
  <c r="N30" i="64"/>
  <c r="M30" i="64"/>
  <c r="L30" i="64"/>
  <c r="K30" i="64"/>
  <c r="J30" i="64"/>
  <c r="I30" i="64"/>
  <c r="H30" i="64"/>
  <c r="Q19" i="64"/>
  <c r="R19" i="64"/>
  <c r="Q18" i="64"/>
  <c r="Q17" i="64"/>
  <c r="Q16" i="64"/>
  <c r="Q15" i="64"/>
  <c r="Q14" i="64"/>
  <c r="Q13" i="64"/>
  <c r="R13" i="64"/>
  <c r="Q12" i="64"/>
  <c r="R12" i="64"/>
  <c r="Q11" i="64"/>
  <c r="R11" i="64"/>
  <c r="Q10" i="64"/>
  <c r="R10" i="64"/>
  <c r="Q9" i="64"/>
  <c r="R9" i="64"/>
  <c r="Q8" i="64"/>
  <c r="R8" i="64"/>
  <c r="Q7" i="64"/>
  <c r="R7" i="64"/>
  <c r="Q6" i="64"/>
  <c r="R6" i="64"/>
  <c r="S24" i="47"/>
  <c r="E10" i="46"/>
  <c r="J21" i="46"/>
  <c r="C26" i="46"/>
  <c r="X26" i="47"/>
  <c r="E31" i="46"/>
  <c r="E46" i="46"/>
  <c r="U67" i="47"/>
  <c r="U61" i="47"/>
  <c r="U27" i="47"/>
  <c r="U22" i="47"/>
  <c r="U18" i="47"/>
  <c r="Q68" i="47"/>
  <c r="V70" i="47"/>
  <c r="C26" i="63"/>
  <c r="Q26" i="63"/>
  <c r="D26" i="63"/>
  <c r="D82" i="63" s="1"/>
  <c r="R26" i="63"/>
  <c r="E26" i="63"/>
  <c r="S26" i="63"/>
  <c r="E105" i="63"/>
  <c r="K26" i="63"/>
  <c r="L26" i="63"/>
  <c r="M26" i="63"/>
  <c r="E97" i="63"/>
  <c r="E82" i="63"/>
  <c r="C46" i="63"/>
  <c r="D46" i="63"/>
  <c r="E46" i="63"/>
  <c r="C27" i="63"/>
  <c r="C57" i="63" s="1"/>
  <c r="Q27" i="63"/>
  <c r="D27" i="63"/>
  <c r="R27" i="63"/>
  <c r="E27" i="63"/>
  <c r="E98" i="63" s="1"/>
  <c r="E102" i="63" s="1"/>
  <c r="S27" i="63"/>
  <c r="K27" i="63"/>
  <c r="L27" i="63"/>
  <c r="M27" i="63"/>
  <c r="C47" i="63"/>
  <c r="D47" i="63"/>
  <c r="E57" i="63"/>
  <c r="E47" i="63"/>
  <c r="C28" i="63"/>
  <c r="C84" i="63"/>
  <c r="Q28" i="63"/>
  <c r="D28" i="63"/>
  <c r="R28" i="63"/>
  <c r="D107" i="63" s="1"/>
  <c r="E28" i="63"/>
  <c r="E84" i="63" s="1"/>
  <c r="F84" i="63" s="1"/>
  <c r="S28" i="63"/>
  <c r="K28" i="63"/>
  <c r="C99" i="63"/>
  <c r="L28" i="63"/>
  <c r="M28" i="63"/>
  <c r="D84" i="63"/>
  <c r="C48" i="63"/>
  <c r="D48" i="63"/>
  <c r="L58" i="63"/>
  <c r="E48" i="63"/>
  <c r="C29" i="63"/>
  <c r="C100" i="63" s="1"/>
  <c r="Q29" i="63"/>
  <c r="D29" i="63"/>
  <c r="L59" i="63" s="1"/>
  <c r="R29" i="63"/>
  <c r="E29" i="63"/>
  <c r="S29" i="63"/>
  <c r="M59" i="63" s="1"/>
  <c r="K29" i="63"/>
  <c r="L29" i="63"/>
  <c r="M29" i="63"/>
  <c r="E100" i="63"/>
  <c r="E85" i="63"/>
  <c r="C59" i="63"/>
  <c r="C49" i="63"/>
  <c r="D49" i="63"/>
  <c r="E59" i="63"/>
  <c r="E49" i="63"/>
  <c r="C30" i="63"/>
  <c r="C86" i="63" s="1"/>
  <c r="Q30" i="63"/>
  <c r="D30" i="63"/>
  <c r="R30" i="63"/>
  <c r="E30" i="63"/>
  <c r="E60" i="63"/>
  <c r="S30" i="63"/>
  <c r="K30" i="63"/>
  <c r="L30" i="63"/>
  <c r="M30" i="63"/>
  <c r="E101" i="63" s="1"/>
  <c r="C50" i="63"/>
  <c r="D50" i="63"/>
  <c r="E50" i="63"/>
  <c r="D18" i="47"/>
  <c r="D27" i="47"/>
  <c r="D61" i="47"/>
  <c r="D22" i="47"/>
  <c r="D67" i="47"/>
  <c r="D68" i="47"/>
  <c r="L51" i="63"/>
  <c r="K51" i="63"/>
  <c r="J51" i="63"/>
  <c r="E51" i="63"/>
  <c r="D51" i="63"/>
  <c r="C51" i="63"/>
  <c r="L41" i="63"/>
  <c r="K41" i="63"/>
  <c r="J41" i="63"/>
  <c r="E41" i="63"/>
  <c r="D41" i="63"/>
  <c r="C41" i="63"/>
  <c r="I12" i="63"/>
  <c r="I13" i="63"/>
  <c r="I14" i="63"/>
  <c r="I17" i="63"/>
  <c r="H14" i="63"/>
  <c r="G21" i="63"/>
  <c r="H31" i="62"/>
  <c r="B13" i="62"/>
  <c r="B22" i="62"/>
  <c r="B4" i="62"/>
  <c r="B31" i="62"/>
  <c r="D13" i="62"/>
  <c r="D22" i="62"/>
  <c r="D4" i="62"/>
  <c r="D31" i="62"/>
  <c r="C4" i="62"/>
  <c r="C13" i="62"/>
  <c r="C22" i="62"/>
  <c r="C31" i="62"/>
  <c r="F31" i="62"/>
  <c r="X33" i="47"/>
  <c r="Z33" i="47" s="1"/>
  <c r="AA33" i="47" s="1"/>
  <c r="AG4" i="47"/>
  <c r="AG5" i="47"/>
  <c r="AG6" i="47"/>
  <c r="AG8" i="47"/>
  <c r="X29" i="47"/>
  <c r="X61" i="47" s="1"/>
  <c r="X30" i="47"/>
  <c r="X31" i="47"/>
  <c r="X32" i="47"/>
  <c r="X35" i="47"/>
  <c r="X36" i="47"/>
  <c r="X37" i="47"/>
  <c r="X38" i="47"/>
  <c r="X39" i="47"/>
  <c r="X40" i="47"/>
  <c r="X42" i="47"/>
  <c r="X43" i="47"/>
  <c r="X44" i="47"/>
  <c r="X46" i="47"/>
  <c r="X47" i="47"/>
  <c r="X48" i="47"/>
  <c r="X49" i="47"/>
  <c r="X50" i="47"/>
  <c r="X51" i="47"/>
  <c r="X52" i="47"/>
  <c r="X53" i="47"/>
  <c r="X54" i="47"/>
  <c r="X55" i="47"/>
  <c r="X56" i="47"/>
  <c r="X60" i="47"/>
  <c r="X6" i="47"/>
  <c r="X7" i="47"/>
  <c r="X8" i="47"/>
  <c r="X9" i="47"/>
  <c r="X18" i="47" s="1"/>
  <c r="X10" i="47"/>
  <c r="X11" i="47"/>
  <c r="X12" i="47"/>
  <c r="X13" i="47"/>
  <c r="X14" i="47"/>
  <c r="X15" i="47"/>
  <c r="X16" i="47"/>
  <c r="Z16" i="47" s="1"/>
  <c r="X17" i="47"/>
  <c r="X20" i="47"/>
  <c r="X22" i="47" s="1"/>
  <c r="X21" i="47"/>
  <c r="X24" i="47"/>
  <c r="X25" i="47"/>
  <c r="X63" i="47"/>
  <c r="X64" i="47"/>
  <c r="X65" i="47"/>
  <c r="X66" i="47"/>
  <c r="Z59" i="47"/>
  <c r="AA59" i="47"/>
  <c r="L73" i="47"/>
  <c r="K73" i="47"/>
  <c r="J73" i="47"/>
  <c r="I73" i="47"/>
  <c r="H73" i="47"/>
  <c r="G73" i="47"/>
  <c r="F73" i="47"/>
  <c r="E73" i="47"/>
  <c r="C73" i="47"/>
  <c r="Z57" i="47"/>
  <c r="Z58" i="47"/>
  <c r="B8" i="62"/>
  <c r="B17" i="62"/>
  <c r="B26" i="62"/>
  <c r="B35" i="62"/>
  <c r="D8" i="62"/>
  <c r="D17" i="62"/>
  <c r="D26" i="62"/>
  <c r="D35" i="62"/>
  <c r="C8" i="62"/>
  <c r="C17" i="62"/>
  <c r="C26" i="62"/>
  <c r="C35" i="62"/>
  <c r="F35" i="62"/>
  <c r="B5" i="62"/>
  <c r="B14" i="62"/>
  <c r="B23" i="62"/>
  <c r="B32" i="62"/>
  <c r="D5" i="62"/>
  <c r="D14" i="62"/>
  <c r="D23" i="62"/>
  <c r="D32" i="62"/>
  <c r="C5" i="62"/>
  <c r="C14" i="62"/>
  <c r="C23" i="62"/>
  <c r="C32" i="62"/>
  <c r="F32" i="62"/>
  <c r="B6" i="62"/>
  <c r="B15" i="62"/>
  <c r="B24" i="62"/>
  <c r="B33" i="62"/>
  <c r="D6" i="62"/>
  <c r="D15" i="62"/>
  <c r="D24" i="62"/>
  <c r="D33" i="62"/>
  <c r="C6" i="62"/>
  <c r="C15" i="62"/>
  <c r="C24" i="62"/>
  <c r="C33" i="62"/>
  <c r="F33" i="62"/>
  <c r="B7" i="62"/>
  <c r="B16" i="62"/>
  <c r="B25" i="62"/>
  <c r="B34" i="62"/>
  <c r="D7" i="62"/>
  <c r="D16" i="62"/>
  <c r="D25" i="62"/>
  <c r="D34" i="62"/>
  <c r="C7" i="62"/>
  <c r="C16" i="62"/>
  <c r="C25" i="62"/>
  <c r="C34" i="62"/>
  <c r="F34" i="62"/>
  <c r="H36" i="62"/>
  <c r="G40" i="46"/>
  <c r="H40" i="46"/>
  <c r="I40" i="46"/>
  <c r="AI40" i="46"/>
  <c r="AP40" i="46" s="1"/>
  <c r="C40" i="46"/>
  <c r="P40" i="46"/>
  <c r="Z40" i="46"/>
  <c r="AF40" i="46"/>
  <c r="C18" i="62"/>
  <c r="B14" i="61"/>
  <c r="J14" i="61" s="1"/>
  <c r="F14" i="61"/>
  <c r="F24" i="61" s="1"/>
  <c r="C14" i="61"/>
  <c r="C24" i="61" s="1"/>
  <c r="G14" i="61"/>
  <c r="G24" i="61" s="1"/>
  <c r="D14" i="61"/>
  <c r="D24" i="61" s="1"/>
  <c r="H14" i="61"/>
  <c r="B15" i="61"/>
  <c r="B25" i="61" s="1"/>
  <c r="F15" i="61"/>
  <c r="G15" i="61"/>
  <c r="G25" i="61"/>
  <c r="K25" i="61" s="1"/>
  <c r="H15" i="61"/>
  <c r="H25" i="61" s="1"/>
  <c r="C15" i="61"/>
  <c r="C25" i="61"/>
  <c r="D15" i="61"/>
  <c r="B16" i="61"/>
  <c r="E16" i="61" s="1"/>
  <c r="F16" i="61"/>
  <c r="C16" i="61"/>
  <c r="G16" i="61"/>
  <c r="I16" i="61" s="1"/>
  <c r="G26" i="61"/>
  <c r="D26" i="61"/>
  <c r="H16" i="61"/>
  <c r="H26" i="61" s="1"/>
  <c r="L26" i="61" s="1"/>
  <c r="B17" i="61"/>
  <c r="J17" i="61" s="1"/>
  <c r="F17" i="61"/>
  <c r="C17" i="61"/>
  <c r="G17" i="61"/>
  <c r="D27" i="61"/>
  <c r="H17" i="61"/>
  <c r="B18" i="61"/>
  <c r="F18" i="61"/>
  <c r="F28" i="61" s="1"/>
  <c r="C18" i="61"/>
  <c r="C28" i="61"/>
  <c r="K28" i="61" s="1"/>
  <c r="G18" i="61"/>
  <c r="G28" i="61" s="1"/>
  <c r="D28" i="61"/>
  <c r="H18" i="61"/>
  <c r="H28" i="61"/>
  <c r="L28" i="61" s="1"/>
  <c r="L16" i="61"/>
  <c r="J4" i="61"/>
  <c r="K4" i="61"/>
  <c r="L4" i="61"/>
  <c r="J5" i="61"/>
  <c r="K5" i="61"/>
  <c r="L5" i="61"/>
  <c r="M5" i="61"/>
  <c r="J6" i="61"/>
  <c r="K6" i="61"/>
  <c r="L6" i="61"/>
  <c r="M6" i="61"/>
  <c r="K7" i="61"/>
  <c r="K8" i="61"/>
  <c r="K9" i="61"/>
  <c r="J7" i="61"/>
  <c r="L7" i="61"/>
  <c r="J8" i="61"/>
  <c r="L8" i="61"/>
  <c r="M8" i="61"/>
  <c r="L9" i="61"/>
  <c r="I4" i="61"/>
  <c r="I5" i="61"/>
  <c r="I6" i="61"/>
  <c r="I7" i="61"/>
  <c r="I8" i="61"/>
  <c r="I9" i="61"/>
  <c r="H9" i="61"/>
  <c r="G9" i="61"/>
  <c r="F9" i="61"/>
  <c r="E4" i="61"/>
  <c r="E5" i="61"/>
  <c r="E6" i="61"/>
  <c r="E7" i="61"/>
  <c r="E8" i="61"/>
  <c r="D9" i="61"/>
  <c r="C9" i="61"/>
  <c r="B9" i="61"/>
  <c r="C72" i="47"/>
  <c r="M72" i="47"/>
  <c r="C54" i="54"/>
  <c r="C55" i="54"/>
  <c r="C56" i="54"/>
  <c r="C57" i="54"/>
  <c r="D57" i="54" s="1"/>
  <c r="G8" i="54" s="1"/>
  <c r="H8" i="54" s="1"/>
  <c r="D8" i="54"/>
  <c r="C51" i="54"/>
  <c r="C44" i="54"/>
  <c r="C49" i="54"/>
  <c r="C47" i="54"/>
  <c r="C45" i="54"/>
  <c r="C50" i="54"/>
  <c r="C46" i="54"/>
  <c r="D51" i="54" s="1"/>
  <c r="G9" i="54" s="1"/>
  <c r="H9" i="54" s="1"/>
  <c r="C48" i="54"/>
  <c r="C33" i="54"/>
  <c r="C34" i="54"/>
  <c r="C35" i="54"/>
  <c r="C36" i="54"/>
  <c r="C37" i="54"/>
  <c r="C38" i="54"/>
  <c r="C39" i="54"/>
  <c r="C40" i="54"/>
  <c r="D30" i="54"/>
  <c r="G7" i="54"/>
  <c r="D7" i="54"/>
  <c r="H13" i="54"/>
  <c r="H12" i="54"/>
  <c r="D11" i="54"/>
  <c r="H11" i="54"/>
  <c r="H10" i="54"/>
  <c r="H5" i="54"/>
  <c r="D25" i="54"/>
  <c r="G4" i="54"/>
  <c r="H4" i="54"/>
  <c r="E17" i="54"/>
  <c r="E16" i="54"/>
  <c r="E15" i="54"/>
  <c r="C33" i="58"/>
  <c r="C43" i="58"/>
  <c r="D33" i="58"/>
  <c r="D43" i="58"/>
  <c r="D52" i="58"/>
  <c r="D61" i="58"/>
  <c r="D69" i="58"/>
  <c r="E33" i="58"/>
  <c r="E43" i="58"/>
  <c r="E52" i="58"/>
  <c r="C34" i="58"/>
  <c r="C44" i="58"/>
  <c r="D34" i="58"/>
  <c r="D44" i="58"/>
  <c r="D53" i="58"/>
  <c r="D62" i="58"/>
  <c r="E34" i="58"/>
  <c r="E44" i="58"/>
  <c r="E53" i="58"/>
  <c r="E62" i="58"/>
  <c r="E70" i="58"/>
  <c r="C35" i="58"/>
  <c r="C45" i="58"/>
  <c r="D35" i="58"/>
  <c r="D45" i="58"/>
  <c r="D54" i="58"/>
  <c r="D63" i="58"/>
  <c r="D71" i="58"/>
  <c r="E35" i="58"/>
  <c r="E45" i="58"/>
  <c r="E54" i="58"/>
  <c r="E63" i="58"/>
  <c r="E71" i="58"/>
  <c r="C36" i="58"/>
  <c r="C46" i="58"/>
  <c r="D36" i="58"/>
  <c r="D46" i="58"/>
  <c r="D55" i="58"/>
  <c r="D64" i="58"/>
  <c r="D72" i="58"/>
  <c r="E36" i="58"/>
  <c r="E46" i="58"/>
  <c r="E55" i="58"/>
  <c r="E64" i="58"/>
  <c r="E72" i="58"/>
  <c r="C37" i="58"/>
  <c r="C47" i="58"/>
  <c r="D37" i="58"/>
  <c r="D47" i="58"/>
  <c r="D56" i="58"/>
  <c r="D65" i="58"/>
  <c r="D73" i="58"/>
  <c r="E37" i="58"/>
  <c r="E47" i="58"/>
  <c r="E56" i="58"/>
  <c r="E65" i="58"/>
  <c r="E73" i="58"/>
  <c r="D78" i="58"/>
  <c r="E78" i="58"/>
  <c r="D79" i="58"/>
  <c r="E79" i="58"/>
  <c r="D80" i="58"/>
  <c r="E80" i="58"/>
  <c r="D81" i="58"/>
  <c r="E81" i="58"/>
  <c r="D82" i="58"/>
  <c r="E82" i="58"/>
  <c r="C13" i="58"/>
  <c r="C14" i="58"/>
  <c r="D38" i="58"/>
  <c r="D13" i="58"/>
  <c r="D14" i="58"/>
  <c r="E38" i="58"/>
  <c r="E13" i="58"/>
  <c r="E14" i="58"/>
  <c r="L48" i="58"/>
  <c r="K48" i="58"/>
  <c r="J48" i="58"/>
  <c r="L38" i="58"/>
  <c r="K38" i="58"/>
  <c r="J38" i="58"/>
  <c r="M37" i="58"/>
  <c r="M36" i="58"/>
  <c r="M35" i="58"/>
  <c r="F35" i="58"/>
  <c r="M34" i="58"/>
  <c r="M33" i="58"/>
  <c r="M38" i="58"/>
  <c r="C33" i="57"/>
  <c r="C43" i="57"/>
  <c r="D33" i="57"/>
  <c r="D43" i="57"/>
  <c r="D52" i="57"/>
  <c r="E33" i="57"/>
  <c r="E43" i="57"/>
  <c r="E52" i="57"/>
  <c r="E61" i="57"/>
  <c r="E69" i="57"/>
  <c r="C34" i="57"/>
  <c r="C44" i="57"/>
  <c r="D34" i="57"/>
  <c r="D79" i="57"/>
  <c r="D44" i="57"/>
  <c r="D53" i="57"/>
  <c r="D62" i="57"/>
  <c r="D70" i="57"/>
  <c r="E34" i="57"/>
  <c r="E44" i="57"/>
  <c r="C35" i="57"/>
  <c r="C45" i="57"/>
  <c r="D35" i="57"/>
  <c r="D45" i="57"/>
  <c r="E35" i="57"/>
  <c r="E45" i="57"/>
  <c r="E54" i="57"/>
  <c r="E63" i="57"/>
  <c r="E71" i="57"/>
  <c r="C36" i="57"/>
  <c r="C46" i="57"/>
  <c r="D36" i="57"/>
  <c r="D81" i="57"/>
  <c r="D46" i="57"/>
  <c r="E36" i="57"/>
  <c r="E46" i="57"/>
  <c r="E55" i="57"/>
  <c r="E64" i="57"/>
  <c r="E72" i="57"/>
  <c r="C37" i="57"/>
  <c r="C47" i="57"/>
  <c r="D37" i="57"/>
  <c r="D82" i="57"/>
  <c r="D47" i="57"/>
  <c r="D56" i="57"/>
  <c r="D65" i="57"/>
  <c r="D73" i="57"/>
  <c r="E37" i="57"/>
  <c r="E47" i="57"/>
  <c r="E56" i="57"/>
  <c r="E65" i="57"/>
  <c r="E73" i="57"/>
  <c r="E78" i="57"/>
  <c r="E79" i="57"/>
  <c r="E80" i="57"/>
  <c r="E81" i="57"/>
  <c r="E82" i="57"/>
  <c r="C38" i="57"/>
  <c r="C13" i="57"/>
  <c r="C14" i="57"/>
  <c r="D13" i="57"/>
  <c r="D14" i="57"/>
  <c r="E38" i="57"/>
  <c r="E13" i="57"/>
  <c r="E15" i="57" s="1"/>
  <c r="E14" i="57"/>
  <c r="E99" i="57"/>
  <c r="L48" i="57"/>
  <c r="K48" i="57"/>
  <c r="J48" i="57"/>
  <c r="D48" i="57"/>
  <c r="L38" i="57"/>
  <c r="K38" i="57"/>
  <c r="J38" i="57"/>
  <c r="M37" i="57"/>
  <c r="M36" i="57"/>
  <c r="M35" i="57"/>
  <c r="M34" i="57"/>
  <c r="M33" i="57"/>
  <c r="M38" i="57"/>
  <c r="C33" i="56"/>
  <c r="C43" i="56"/>
  <c r="C52" i="56"/>
  <c r="D33" i="56"/>
  <c r="D43" i="56"/>
  <c r="D52" i="56"/>
  <c r="D61" i="56"/>
  <c r="E33" i="56"/>
  <c r="E43" i="56"/>
  <c r="E52" i="56"/>
  <c r="C34" i="56"/>
  <c r="C35" i="56"/>
  <c r="C36" i="56"/>
  <c r="C37" i="56"/>
  <c r="C38" i="56"/>
  <c r="C44" i="56"/>
  <c r="D34" i="56"/>
  <c r="D44" i="56"/>
  <c r="D53" i="56"/>
  <c r="D62" i="56"/>
  <c r="D70" i="56"/>
  <c r="E34" i="56"/>
  <c r="E44" i="56"/>
  <c r="C45" i="56"/>
  <c r="D35" i="56"/>
  <c r="D45" i="56"/>
  <c r="D54" i="56"/>
  <c r="E35" i="56"/>
  <c r="E45" i="56"/>
  <c r="E54" i="56"/>
  <c r="E63" i="56"/>
  <c r="E71" i="56"/>
  <c r="C46" i="56"/>
  <c r="C55" i="56"/>
  <c r="C64" i="56"/>
  <c r="C72" i="56"/>
  <c r="D36" i="56"/>
  <c r="D46" i="56"/>
  <c r="D47" i="56"/>
  <c r="D48" i="56"/>
  <c r="E36" i="56"/>
  <c r="E46" i="56"/>
  <c r="E55" i="56"/>
  <c r="E64" i="56"/>
  <c r="E72" i="56"/>
  <c r="C47" i="56"/>
  <c r="C56" i="56"/>
  <c r="D37" i="56"/>
  <c r="D56" i="56"/>
  <c r="D65" i="56"/>
  <c r="D73" i="56"/>
  <c r="E37" i="56"/>
  <c r="E47" i="56"/>
  <c r="E56" i="56"/>
  <c r="E65" i="56"/>
  <c r="E73" i="56"/>
  <c r="C78" i="56"/>
  <c r="D78" i="56"/>
  <c r="E78" i="56"/>
  <c r="C79" i="56"/>
  <c r="D79" i="56"/>
  <c r="C80" i="56"/>
  <c r="D80" i="56"/>
  <c r="E80" i="56"/>
  <c r="C81" i="56"/>
  <c r="D81" i="56"/>
  <c r="E81" i="56"/>
  <c r="C82" i="56"/>
  <c r="D82" i="56"/>
  <c r="E82" i="56"/>
  <c r="C13" i="56"/>
  <c r="C14" i="56"/>
  <c r="D38" i="56"/>
  <c r="D13" i="56"/>
  <c r="D14" i="56"/>
  <c r="E38" i="56"/>
  <c r="E13" i="56"/>
  <c r="E14" i="56"/>
  <c r="L48" i="56"/>
  <c r="K48" i="56"/>
  <c r="J48" i="56"/>
  <c r="L38" i="56"/>
  <c r="K38" i="56"/>
  <c r="J38" i="56"/>
  <c r="M37" i="56"/>
  <c r="F37" i="56"/>
  <c r="M36" i="56"/>
  <c r="F36" i="56"/>
  <c r="M35" i="56"/>
  <c r="M34" i="56"/>
  <c r="M33" i="56"/>
  <c r="M38" i="56"/>
  <c r="C33" i="55"/>
  <c r="C43" i="55"/>
  <c r="D33" i="55"/>
  <c r="D43" i="55"/>
  <c r="D52" i="55"/>
  <c r="E33" i="55"/>
  <c r="E43" i="55"/>
  <c r="C34" i="55"/>
  <c r="C44" i="55"/>
  <c r="C53" i="55"/>
  <c r="D34" i="55"/>
  <c r="D44" i="55"/>
  <c r="D53" i="55"/>
  <c r="D62" i="55"/>
  <c r="D70" i="55"/>
  <c r="E34" i="55"/>
  <c r="E44" i="55"/>
  <c r="C35" i="55"/>
  <c r="C45" i="55"/>
  <c r="C54" i="55"/>
  <c r="D35" i="55"/>
  <c r="D45" i="55"/>
  <c r="D54" i="55"/>
  <c r="D63" i="55"/>
  <c r="D71" i="55"/>
  <c r="E35" i="55"/>
  <c r="E45" i="55"/>
  <c r="C36" i="55"/>
  <c r="C46" i="55"/>
  <c r="C55" i="55"/>
  <c r="D36" i="55"/>
  <c r="D46" i="55"/>
  <c r="D55" i="55"/>
  <c r="D64" i="55"/>
  <c r="D72" i="55"/>
  <c r="E36" i="55"/>
  <c r="E46" i="55"/>
  <c r="C37" i="55"/>
  <c r="C47" i="55"/>
  <c r="C56" i="55"/>
  <c r="C65" i="55"/>
  <c r="D37" i="55"/>
  <c r="D47" i="55"/>
  <c r="D56" i="55"/>
  <c r="D65" i="55"/>
  <c r="D73" i="55"/>
  <c r="E37" i="55"/>
  <c r="E47" i="55"/>
  <c r="D78" i="55"/>
  <c r="C79" i="55"/>
  <c r="D79" i="55"/>
  <c r="C80" i="55"/>
  <c r="D80" i="55"/>
  <c r="C81" i="55"/>
  <c r="D81" i="55"/>
  <c r="C82" i="55"/>
  <c r="D82" i="55"/>
  <c r="C13" i="55"/>
  <c r="C14" i="55"/>
  <c r="D38" i="55"/>
  <c r="D13" i="55"/>
  <c r="D15" i="55" s="1"/>
  <c r="D14" i="55"/>
  <c r="E13" i="55"/>
  <c r="E14" i="55"/>
  <c r="L48" i="55"/>
  <c r="K48" i="55"/>
  <c r="J48" i="55"/>
  <c r="D48" i="55"/>
  <c r="L38" i="55"/>
  <c r="K38" i="55"/>
  <c r="J38" i="55"/>
  <c r="M37" i="55"/>
  <c r="M36" i="55"/>
  <c r="M35" i="55"/>
  <c r="M34" i="55"/>
  <c r="M33" i="55"/>
  <c r="C33" i="53"/>
  <c r="C43" i="53"/>
  <c r="C52" i="53"/>
  <c r="D33" i="53"/>
  <c r="D43" i="53"/>
  <c r="E33" i="53"/>
  <c r="E43" i="53"/>
  <c r="C34" i="53"/>
  <c r="C44" i="53"/>
  <c r="C53" i="53"/>
  <c r="D34" i="53"/>
  <c r="D44" i="53"/>
  <c r="D53" i="53"/>
  <c r="D62" i="53"/>
  <c r="D70" i="53"/>
  <c r="E34" i="53"/>
  <c r="E44" i="53"/>
  <c r="C35" i="53"/>
  <c r="C45" i="53"/>
  <c r="C54" i="53"/>
  <c r="D35" i="53"/>
  <c r="D45" i="53"/>
  <c r="D54" i="53"/>
  <c r="D63" i="53"/>
  <c r="D71" i="53"/>
  <c r="E35" i="53"/>
  <c r="E45" i="53"/>
  <c r="C36" i="53"/>
  <c r="C46" i="53"/>
  <c r="C55" i="53"/>
  <c r="D36" i="53"/>
  <c r="D46" i="53"/>
  <c r="D55" i="53"/>
  <c r="D64" i="53"/>
  <c r="D72" i="53"/>
  <c r="E36" i="53"/>
  <c r="E46" i="53"/>
  <c r="C37" i="53"/>
  <c r="C47" i="53"/>
  <c r="C56" i="53"/>
  <c r="C65" i="53"/>
  <c r="D37" i="53"/>
  <c r="D47" i="53"/>
  <c r="D56" i="53"/>
  <c r="D65" i="53"/>
  <c r="D73" i="53"/>
  <c r="E37" i="53"/>
  <c r="E47" i="53"/>
  <c r="C78" i="53"/>
  <c r="D78" i="53"/>
  <c r="C79" i="53"/>
  <c r="D79" i="53"/>
  <c r="C80" i="53"/>
  <c r="D80" i="53"/>
  <c r="C81" i="53"/>
  <c r="D81" i="53"/>
  <c r="C82" i="53"/>
  <c r="D82" i="53"/>
  <c r="C38" i="53"/>
  <c r="C13" i="53"/>
  <c r="C14" i="53"/>
  <c r="D38" i="53"/>
  <c r="D13" i="53"/>
  <c r="D14" i="53"/>
  <c r="D15" i="53"/>
  <c r="G13" i="53" s="1"/>
  <c r="E13" i="53"/>
  <c r="E14" i="53"/>
  <c r="L48" i="53"/>
  <c r="K48" i="53"/>
  <c r="J48" i="53"/>
  <c r="E48" i="53"/>
  <c r="L38" i="53"/>
  <c r="K38" i="53"/>
  <c r="J38" i="53"/>
  <c r="M37" i="53"/>
  <c r="M36" i="53"/>
  <c r="M35" i="53"/>
  <c r="M34" i="53"/>
  <c r="M33" i="53"/>
  <c r="M38" i="53"/>
  <c r="C48" i="58"/>
  <c r="D48" i="58"/>
  <c r="E48" i="58"/>
  <c r="F34" i="58"/>
  <c r="E83" i="58"/>
  <c r="F33" i="58"/>
  <c r="F37" i="58"/>
  <c r="C48" i="57"/>
  <c r="F33" i="57"/>
  <c r="F37" i="57"/>
  <c r="C48" i="56"/>
  <c r="E48" i="56"/>
  <c r="F33" i="56"/>
  <c r="D83" i="56"/>
  <c r="E48" i="55"/>
  <c r="C48" i="55"/>
  <c r="F34" i="55"/>
  <c r="D83" i="55"/>
  <c r="C48" i="53"/>
  <c r="F33" i="53"/>
  <c r="F37" i="53"/>
  <c r="D83" i="58"/>
  <c r="D57" i="58"/>
  <c r="E83" i="57"/>
  <c r="D83" i="53"/>
  <c r="G26" i="52"/>
  <c r="H26" i="52"/>
  <c r="I26" i="52"/>
  <c r="G29" i="52"/>
  <c r="H29" i="52"/>
  <c r="I29" i="52"/>
  <c r="G28" i="52"/>
  <c r="H28" i="52"/>
  <c r="I28" i="52"/>
  <c r="G27" i="52"/>
  <c r="H27" i="52"/>
  <c r="I27" i="52"/>
  <c r="G25" i="52"/>
  <c r="F30" i="52"/>
  <c r="F10" i="52"/>
  <c r="F9" i="52"/>
  <c r="F8" i="52"/>
  <c r="W65" i="48"/>
  <c r="AM6" i="48"/>
  <c r="AM18" i="48"/>
  <c r="AM64" i="48"/>
  <c r="AL6" i="48"/>
  <c r="AG65" i="48"/>
  <c r="Y65" i="48"/>
  <c r="AD26" i="46"/>
  <c r="AF26" i="46" s="1"/>
  <c r="H45" i="46"/>
  <c r="AJ46" i="46"/>
  <c r="AH48" i="46"/>
  <c r="AP48" i="46" s="1"/>
  <c r="C48" i="46"/>
  <c r="X48" i="46"/>
  <c r="Z48" i="46"/>
  <c r="K48" i="46"/>
  <c r="P48" i="46"/>
  <c r="AF48" i="46"/>
  <c r="E29" i="46"/>
  <c r="E56" i="46"/>
  <c r="E20" i="46"/>
  <c r="E14" i="46"/>
  <c r="E13" i="46"/>
  <c r="E12" i="46"/>
  <c r="E11" i="46"/>
  <c r="E7" i="46"/>
  <c r="E6" i="46"/>
  <c r="E18" i="46"/>
  <c r="E22" i="46"/>
  <c r="E26" i="46"/>
  <c r="E62" i="46"/>
  <c r="D14" i="51"/>
  <c r="E14" i="51"/>
  <c r="C19" i="51"/>
  <c r="D19" i="51"/>
  <c r="E18" i="51"/>
  <c r="E17" i="51"/>
  <c r="E16" i="51"/>
  <c r="E15" i="51"/>
  <c r="E8" i="51"/>
  <c r="E7" i="51"/>
  <c r="E6" i="51"/>
  <c r="E5" i="51"/>
  <c r="E4" i="51"/>
  <c r="E9" i="51"/>
  <c r="D9" i="51"/>
  <c r="C9" i="51"/>
  <c r="J9" i="46"/>
  <c r="K9" i="46" s="1"/>
  <c r="AR9" i="46" s="1"/>
  <c r="O27" i="47"/>
  <c r="O22" i="47"/>
  <c r="O18" i="47"/>
  <c r="O67" i="47"/>
  <c r="C61" i="46"/>
  <c r="C59" i="46"/>
  <c r="V59" i="46"/>
  <c r="Z59" i="46" s="1"/>
  <c r="R58" i="46"/>
  <c r="S58" i="46"/>
  <c r="U58" i="46"/>
  <c r="V58" i="46"/>
  <c r="W58" i="46"/>
  <c r="X58" i="46"/>
  <c r="S61" i="46"/>
  <c r="Z61" i="46" s="1"/>
  <c r="Z60" i="46"/>
  <c r="AE59" i="46"/>
  <c r="AF59" i="46" s="1"/>
  <c r="AF62" i="46" s="1"/>
  <c r="AF58" i="46"/>
  <c r="AF60" i="46"/>
  <c r="AF61" i="46"/>
  <c r="C54" i="46"/>
  <c r="K54" i="46"/>
  <c r="P54" i="46"/>
  <c r="Z54" i="46"/>
  <c r="AF54" i="46"/>
  <c r="AP54" i="46"/>
  <c r="AR54" i="46"/>
  <c r="K52" i="46"/>
  <c r="P52" i="46"/>
  <c r="Z52" i="46"/>
  <c r="AF52" i="46"/>
  <c r="AP52" i="46"/>
  <c r="C50" i="46"/>
  <c r="C49" i="46"/>
  <c r="C47" i="46"/>
  <c r="C45" i="46"/>
  <c r="K45" i="46"/>
  <c r="Z45" i="46"/>
  <c r="AR45" i="46"/>
  <c r="C44" i="46"/>
  <c r="K44" i="46"/>
  <c r="Z44" i="46"/>
  <c r="AR44" i="46"/>
  <c r="C43" i="46"/>
  <c r="C41" i="46"/>
  <c r="G41" i="46"/>
  <c r="K41" i="46" s="1"/>
  <c r="R41" i="46"/>
  <c r="P41" i="46"/>
  <c r="AF41" i="46"/>
  <c r="AP41" i="46"/>
  <c r="C39" i="46"/>
  <c r="C38" i="46"/>
  <c r="C37" i="46"/>
  <c r="M37" i="46"/>
  <c r="P37" i="46" s="1"/>
  <c r="AR37" i="46" s="1"/>
  <c r="K37" i="46"/>
  <c r="Z37" i="46"/>
  <c r="AF37" i="46"/>
  <c r="AP37" i="46"/>
  <c r="C36" i="46"/>
  <c r="C35" i="46"/>
  <c r="AC35" i="46"/>
  <c r="AF35" i="46" s="1"/>
  <c r="AR35" i="46" s="1"/>
  <c r="K35" i="46"/>
  <c r="P35" i="46"/>
  <c r="Z35" i="46"/>
  <c r="AP35" i="46"/>
  <c r="C34" i="46"/>
  <c r="C33" i="46"/>
  <c r="C32" i="46"/>
  <c r="C30" i="46"/>
  <c r="AH30" i="46"/>
  <c r="AP30" i="46" s="1"/>
  <c r="AR30" i="46" s="1"/>
  <c r="C17" i="46"/>
  <c r="K17" i="46"/>
  <c r="P17" i="46"/>
  <c r="Z17" i="46"/>
  <c r="AF17" i="46"/>
  <c r="AP17" i="46"/>
  <c r="AR17" i="46"/>
  <c r="C16" i="46"/>
  <c r="C15" i="46"/>
  <c r="C9" i="46"/>
  <c r="R51" i="46"/>
  <c r="Z51" i="46" s="1"/>
  <c r="AB51" i="46"/>
  <c r="AF51" i="46"/>
  <c r="AH51" i="46"/>
  <c r="AP51" i="46" s="1"/>
  <c r="K51" i="46"/>
  <c r="P51" i="46"/>
  <c r="C42" i="46"/>
  <c r="K42" i="46"/>
  <c r="P42" i="46"/>
  <c r="Z42" i="46"/>
  <c r="AF42" i="46"/>
  <c r="AP42" i="46"/>
  <c r="AR42" i="46"/>
  <c r="AH6" i="46"/>
  <c r="AI6" i="46"/>
  <c r="AJ6" i="46"/>
  <c r="AK6" i="46"/>
  <c r="AL6" i="46"/>
  <c r="AM6" i="46"/>
  <c r="AO6" i="46"/>
  <c r="AH7" i="46"/>
  <c r="AH10" i="46"/>
  <c r="AH11" i="46"/>
  <c r="AH12" i="46"/>
  <c r="AH13" i="46"/>
  <c r="AH14" i="46"/>
  <c r="AI7" i="46"/>
  <c r="AJ7" i="46"/>
  <c r="AK7" i="46"/>
  <c r="AL7" i="46"/>
  <c r="AL10" i="46"/>
  <c r="AL11" i="46"/>
  <c r="AL12" i="46"/>
  <c r="AL13" i="46"/>
  <c r="AN7" i="46"/>
  <c r="AO7" i="46"/>
  <c r="AN8" i="46"/>
  <c r="AP8" i="46" s="1"/>
  <c r="AI10" i="46"/>
  <c r="AJ10" i="46"/>
  <c r="AK10" i="46"/>
  <c r="AM10" i="46"/>
  <c r="AN10" i="46"/>
  <c r="AO10" i="46"/>
  <c r="AI11" i="46"/>
  <c r="AJ11" i="46"/>
  <c r="AK11" i="46"/>
  <c r="AM11" i="46"/>
  <c r="AN11" i="46"/>
  <c r="AO11" i="46"/>
  <c r="AI12" i="46"/>
  <c r="AJ12" i="46"/>
  <c r="AK12" i="46"/>
  <c r="AM12" i="46"/>
  <c r="AN12" i="46"/>
  <c r="AO12" i="46"/>
  <c r="AI13" i="46"/>
  <c r="AJ13" i="46"/>
  <c r="AK13" i="46"/>
  <c r="AM13" i="46"/>
  <c r="AN13" i="46"/>
  <c r="AO13" i="46"/>
  <c r="AI14" i="46"/>
  <c r="AJ14" i="46"/>
  <c r="AM14" i="46"/>
  <c r="AN14" i="46"/>
  <c r="AO14" i="46"/>
  <c r="AK16" i="46"/>
  <c r="AP16" i="46"/>
  <c r="AH20" i="46"/>
  <c r="AJ20" i="46"/>
  <c r="AJ22" i="46" s="1"/>
  <c r="AM20" i="46"/>
  <c r="AM22" i="46" s="1"/>
  <c r="AJ21" i="46"/>
  <c r="AP21" i="46" s="1"/>
  <c r="AH24" i="46"/>
  <c r="AH27" i="46"/>
  <c r="AN24" i="46"/>
  <c r="AN27" i="46" s="1"/>
  <c r="AO24" i="46"/>
  <c r="AO27" i="46" s="1"/>
  <c r="AH29" i="46"/>
  <c r="AH31" i="46"/>
  <c r="AH33" i="46"/>
  <c r="AH47" i="46"/>
  <c r="AP47" i="46" s="1"/>
  <c r="AH49" i="46"/>
  <c r="AP49" i="46" s="1"/>
  <c r="AR49" i="46" s="1"/>
  <c r="AH55" i="46"/>
  <c r="AI29" i="46"/>
  <c r="AJ29" i="46"/>
  <c r="AJ56" i="46" s="1"/>
  <c r="AK29" i="46"/>
  <c r="AL29" i="46"/>
  <c r="AM29" i="46"/>
  <c r="AN29" i="46"/>
  <c r="AN56" i="46" s="1"/>
  <c r="AO29" i="46"/>
  <c r="AJ31" i="46"/>
  <c r="AN31" i="46"/>
  <c r="AK32" i="46"/>
  <c r="AP32" i="46" s="1"/>
  <c r="AK33" i="46"/>
  <c r="AM34" i="46"/>
  <c r="AP34" i="46"/>
  <c r="AI36" i="46"/>
  <c r="AJ36" i="46"/>
  <c r="AM36" i="46"/>
  <c r="H36" i="46"/>
  <c r="I36" i="46"/>
  <c r="J36" i="46"/>
  <c r="Y36" i="46"/>
  <c r="Z36" i="46" s="1"/>
  <c r="P36" i="46"/>
  <c r="AF36" i="46"/>
  <c r="AO39" i="46"/>
  <c r="AI46" i="46"/>
  <c r="AK46" i="46"/>
  <c r="AM46" i="46"/>
  <c r="AM56" i="46" s="1"/>
  <c r="AK55" i="46"/>
  <c r="AJ58" i="46"/>
  <c r="AO58" i="46"/>
  <c r="AO62" i="46" s="1"/>
  <c r="AP58" i="46"/>
  <c r="AK61" i="46"/>
  <c r="AK62" i="46" s="1"/>
  <c r="AO61" i="46"/>
  <c r="AP61" i="46" s="1"/>
  <c r="AC6" i="46"/>
  <c r="AB6" i="46"/>
  <c r="AB18" i="46" s="1"/>
  <c r="AD6" i="46"/>
  <c r="AE6" i="46"/>
  <c r="AC7" i="46"/>
  <c r="AD7" i="46"/>
  <c r="AE7" i="46"/>
  <c r="AC8" i="46"/>
  <c r="AD8" i="46"/>
  <c r="AE8" i="46"/>
  <c r="AC10" i="46"/>
  <c r="AD10" i="46"/>
  <c r="AE10" i="46"/>
  <c r="AC11" i="46"/>
  <c r="AD11" i="46"/>
  <c r="AE11" i="46"/>
  <c r="AC12" i="46"/>
  <c r="AD12" i="46"/>
  <c r="AE12" i="46"/>
  <c r="AC13" i="46"/>
  <c r="AD13" i="46"/>
  <c r="AE13" i="46"/>
  <c r="AC14" i="46"/>
  <c r="AD14" i="46"/>
  <c r="AF14" i="46" s="1"/>
  <c r="AD20" i="46"/>
  <c r="AF20" i="46" s="1"/>
  <c r="AE21" i="46"/>
  <c r="AF21" i="46" s="1"/>
  <c r="AE22" i="46"/>
  <c r="AE24" i="46"/>
  <c r="AF24" i="46" s="1"/>
  <c r="AD29" i="46"/>
  <c r="AE29" i="46"/>
  <c r="AF29" i="46"/>
  <c r="AD31" i="46"/>
  <c r="AF31" i="46" s="1"/>
  <c r="AD34" i="46"/>
  <c r="AB34" i="46"/>
  <c r="G34" i="46"/>
  <c r="K34" i="46" s="1"/>
  <c r="O34" i="46"/>
  <c r="P34" i="46" s="1"/>
  <c r="R34" i="46"/>
  <c r="T34" i="46"/>
  <c r="U34" i="46"/>
  <c r="Z34" i="46"/>
  <c r="AE38" i="46"/>
  <c r="AF38" i="46" s="1"/>
  <c r="AE39" i="46"/>
  <c r="AF39" i="46"/>
  <c r="AE43" i="46"/>
  <c r="AF43" i="46" s="1"/>
  <c r="AD46" i="46"/>
  <c r="AF46" i="46"/>
  <c r="AE50" i="46"/>
  <c r="R6" i="46"/>
  <c r="S6" i="46"/>
  <c r="T6" i="46"/>
  <c r="U6" i="46"/>
  <c r="V6" i="46"/>
  <c r="V7" i="46"/>
  <c r="V8" i="46"/>
  <c r="V10" i="46"/>
  <c r="V11" i="46"/>
  <c r="V12" i="46"/>
  <c r="V13" i="46"/>
  <c r="V14" i="46"/>
  <c r="V29" i="46"/>
  <c r="V56" i="46" s="1"/>
  <c r="V22" i="46"/>
  <c r="V27" i="46"/>
  <c r="W6" i="46"/>
  <c r="X6" i="46"/>
  <c r="Y6" i="46"/>
  <c r="R7" i="46"/>
  <c r="S7" i="46"/>
  <c r="S18" i="46" s="1"/>
  <c r="T7" i="46"/>
  <c r="U7" i="46"/>
  <c r="W7" i="46"/>
  <c r="X7" i="46"/>
  <c r="Y7" i="46"/>
  <c r="R8" i="46"/>
  <c r="S8" i="46"/>
  <c r="Z8" i="46" s="1"/>
  <c r="T8" i="46"/>
  <c r="T10" i="46"/>
  <c r="T11" i="46"/>
  <c r="T12" i="46"/>
  <c r="T13" i="46"/>
  <c r="T14" i="46"/>
  <c r="T21" i="46"/>
  <c r="T22" i="46" s="1"/>
  <c r="T29" i="46"/>
  <c r="T33" i="46"/>
  <c r="T46" i="46"/>
  <c r="T27" i="46"/>
  <c r="T62" i="46"/>
  <c r="U8" i="46"/>
  <c r="W8" i="46"/>
  <c r="Y8" i="46"/>
  <c r="Z9" i="46"/>
  <c r="R10" i="46"/>
  <c r="S10" i="46"/>
  <c r="U10" i="46"/>
  <c r="W10" i="46"/>
  <c r="X10" i="46"/>
  <c r="Y10" i="46"/>
  <c r="R11" i="46"/>
  <c r="S11" i="46"/>
  <c r="U11" i="46"/>
  <c r="W11" i="46"/>
  <c r="X11" i="46"/>
  <c r="Y11" i="46"/>
  <c r="R12" i="46"/>
  <c r="S12" i="46"/>
  <c r="S13" i="46"/>
  <c r="S14" i="46"/>
  <c r="S20" i="46"/>
  <c r="S22" i="46" s="1"/>
  <c r="S29" i="46"/>
  <c r="S33" i="46"/>
  <c r="S46" i="46"/>
  <c r="S47" i="46"/>
  <c r="S27" i="46"/>
  <c r="U12" i="46"/>
  <c r="W12" i="46"/>
  <c r="X12" i="46"/>
  <c r="X13" i="46"/>
  <c r="X14" i="46"/>
  <c r="X16" i="46"/>
  <c r="Z16" i="46" s="1"/>
  <c r="AR16" i="46" s="1"/>
  <c r="Y12" i="46"/>
  <c r="R13" i="46"/>
  <c r="U13" i="46"/>
  <c r="W13" i="46"/>
  <c r="Y13" i="46"/>
  <c r="R14" i="46"/>
  <c r="U14" i="46"/>
  <c r="W14" i="46"/>
  <c r="Y14" i="46"/>
  <c r="R15" i="46"/>
  <c r="Z15" i="46" s="1"/>
  <c r="K16" i="46"/>
  <c r="P16" i="46"/>
  <c r="AF16" i="46"/>
  <c r="R20" i="46"/>
  <c r="R29" i="46"/>
  <c r="U29" i="46"/>
  <c r="U56" i="46" s="1"/>
  <c r="W29" i="46"/>
  <c r="X29" i="46"/>
  <c r="Y29" i="46"/>
  <c r="Y56" i="46" s="1"/>
  <c r="X47" i="46"/>
  <c r="U20" i="46"/>
  <c r="Y20" i="46"/>
  <c r="Y22" i="46" s="1"/>
  <c r="R21" i="46"/>
  <c r="X21" i="46"/>
  <c r="X22" i="46" s="1"/>
  <c r="R24" i="46"/>
  <c r="Y24" i="46"/>
  <c r="Y27" i="46" s="1"/>
  <c r="U46" i="46"/>
  <c r="W33" i="46"/>
  <c r="X31" i="46"/>
  <c r="X33" i="46"/>
  <c r="X39" i="46"/>
  <c r="Z39" i="46" s="1"/>
  <c r="X46" i="46"/>
  <c r="X55" i="46"/>
  <c r="Z55" i="46" s="1"/>
  <c r="R31" i="46"/>
  <c r="Z31" i="46" s="1"/>
  <c r="R32" i="46"/>
  <c r="Y32" i="46"/>
  <c r="R33" i="46"/>
  <c r="R43" i="46"/>
  <c r="Z43" i="46" s="1"/>
  <c r="R46" i="46"/>
  <c r="Y46" i="46"/>
  <c r="R50" i="46"/>
  <c r="Z50" i="46" s="1"/>
  <c r="R55" i="46"/>
  <c r="Y55" i="46"/>
  <c r="U62" i="46"/>
  <c r="W62" i="46"/>
  <c r="X62" i="46"/>
  <c r="M6" i="46"/>
  <c r="N6" i="46"/>
  <c r="N18" i="46" s="1"/>
  <c r="O6" i="46"/>
  <c r="M7" i="46"/>
  <c r="N7" i="46"/>
  <c r="O7" i="46"/>
  <c r="M8" i="46"/>
  <c r="M18" i="46" s="1"/>
  <c r="O8" i="46"/>
  <c r="P9" i="46"/>
  <c r="M10" i="46"/>
  <c r="N10" i="46"/>
  <c r="O10" i="46"/>
  <c r="M11" i="46"/>
  <c r="N11" i="46"/>
  <c r="O11" i="46"/>
  <c r="M12" i="46"/>
  <c r="N12" i="46"/>
  <c r="O12" i="46"/>
  <c r="N13" i="46"/>
  <c r="P13" i="46" s="1"/>
  <c r="O13" i="46"/>
  <c r="M14" i="46"/>
  <c r="N14" i="46"/>
  <c r="O14" i="46"/>
  <c r="P15" i="46"/>
  <c r="M20" i="46"/>
  <c r="N20" i="46"/>
  <c r="P20" i="46" s="1"/>
  <c r="O20" i="46"/>
  <c r="M21" i="46"/>
  <c r="N21" i="46"/>
  <c r="O21" i="46"/>
  <c r="O22" i="46" s="1"/>
  <c r="N25" i="46"/>
  <c r="O25" i="46"/>
  <c r="O27" i="46"/>
  <c r="M29" i="46"/>
  <c r="N29" i="46"/>
  <c r="O29" i="46"/>
  <c r="M31" i="46"/>
  <c r="M46" i="46"/>
  <c r="O31" i="46"/>
  <c r="N32" i="46"/>
  <c r="N46" i="46"/>
  <c r="O46" i="46"/>
  <c r="O55" i="46"/>
  <c r="P55" i="46" s="1"/>
  <c r="O60" i="46"/>
  <c r="O62" i="46" s="1"/>
  <c r="P60" i="46"/>
  <c r="P62" i="46" s="1"/>
  <c r="P58" i="46"/>
  <c r="P61" i="46"/>
  <c r="J6" i="46"/>
  <c r="J7" i="46"/>
  <c r="J8" i="46"/>
  <c r="J10" i="46"/>
  <c r="J11" i="46"/>
  <c r="J12" i="46"/>
  <c r="J13" i="46"/>
  <c r="J14" i="46"/>
  <c r="J20" i="46"/>
  <c r="J22" i="46" s="1"/>
  <c r="J24" i="46"/>
  <c r="J27" i="46" s="1"/>
  <c r="J29" i="46"/>
  <c r="J32" i="46"/>
  <c r="G32" i="46"/>
  <c r="H32" i="46"/>
  <c r="J38" i="46"/>
  <c r="J39" i="46"/>
  <c r="J43" i="46"/>
  <c r="J47" i="46"/>
  <c r="J50" i="46"/>
  <c r="I6" i="46"/>
  <c r="I7" i="46"/>
  <c r="I8" i="46"/>
  <c r="I10" i="46"/>
  <c r="I11" i="46"/>
  <c r="I12" i="46"/>
  <c r="I13" i="46"/>
  <c r="I14" i="46"/>
  <c r="G14" i="46"/>
  <c r="H14" i="46"/>
  <c r="I15" i="46"/>
  <c r="I20" i="46"/>
  <c r="I21" i="46"/>
  <c r="I24" i="46"/>
  <c r="I27" i="46" s="1"/>
  <c r="I29" i="46"/>
  <c r="I38" i="46"/>
  <c r="I39" i="46"/>
  <c r="G39" i="46"/>
  <c r="H39" i="46"/>
  <c r="I43" i="46"/>
  <c r="I50" i="46"/>
  <c r="I55" i="46"/>
  <c r="I58" i="46"/>
  <c r="I62" i="46" s="1"/>
  <c r="G20" i="46"/>
  <c r="H20" i="46"/>
  <c r="G21" i="46"/>
  <c r="H21" i="46"/>
  <c r="G24" i="46"/>
  <c r="AN22" i="46"/>
  <c r="AL22" i="46"/>
  <c r="H55" i="46"/>
  <c r="H50" i="46"/>
  <c r="K53" i="46"/>
  <c r="P53" i="46"/>
  <c r="Z53" i="46"/>
  <c r="AF53" i="46"/>
  <c r="AP53" i="46"/>
  <c r="P50" i="46"/>
  <c r="AP50" i="46"/>
  <c r="K49" i="46"/>
  <c r="P49" i="46"/>
  <c r="Z49" i="46"/>
  <c r="AF49" i="46"/>
  <c r="P47" i="46"/>
  <c r="AF47" i="46"/>
  <c r="H43" i="46"/>
  <c r="G43" i="46"/>
  <c r="P43" i="46"/>
  <c r="AP43" i="46"/>
  <c r="H24" i="46"/>
  <c r="K24" i="46" s="1"/>
  <c r="K27" i="46" s="1"/>
  <c r="K25" i="46"/>
  <c r="K26" i="46"/>
  <c r="P24" i="46"/>
  <c r="Z25" i="46"/>
  <c r="AP25" i="46"/>
  <c r="P26" i="46"/>
  <c r="Z26" i="46"/>
  <c r="AP26" i="46"/>
  <c r="H6" i="46"/>
  <c r="H7" i="46"/>
  <c r="H8" i="46"/>
  <c r="H10" i="46"/>
  <c r="H11" i="46"/>
  <c r="H12" i="46"/>
  <c r="H13" i="46"/>
  <c r="H15" i="46"/>
  <c r="G11" i="46"/>
  <c r="AP15" i="46"/>
  <c r="AF15" i="46"/>
  <c r="AP9" i="46"/>
  <c r="AF9" i="46"/>
  <c r="H29" i="46"/>
  <c r="H38" i="46"/>
  <c r="AF32" i="46"/>
  <c r="K33" i="46"/>
  <c r="P33" i="46"/>
  <c r="AF33" i="46"/>
  <c r="P38" i="46"/>
  <c r="Z38" i="46"/>
  <c r="AP38" i="46"/>
  <c r="P39" i="46"/>
  <c r="H58" i="46"/>
  <c r="H59" i="46"/>
  <c r="H60" i="46"/>
  <c r="H61" i="46"/>
  <c r="K61" i="46" s="1"/>
  <c r="G58" i="46"/>
  <c r="K58" i="46" s="1"/>
  <c r="G60" i="46"/>
  <c r="K60" i="46"/>
  <c r="K62" i="46" s="1"/>
  <c r="K58" i="50"/>
  <c r="K18" i="50"/>
  <c r="K22" i="50"/>
  <c r="K27" i="50"/>
  <c r="K53" i="50"/>
  <c r="K59" i="50"/>
  <c r="J58" i="50"/>
  <c r="I58" i="50"/>
  <c r="H58" i="50"/>
  <c r="G58" i="50"/>
  <c r="F58" i="50"/>
  <c r="E58" i="50"/>
  <c r="D58" i="50"/>
  <c r="C58" i="50"/>
  <c r="L57" i="50"/>
  <c r="L56" i="50"/>
  <c r="L55" i="50"/>
  <c r="L58" i="50"/>
  <c r="M58" i="50"/>
  <c r="I53" i="50"/>
  <c r="H53" i="50"/>
  <c r="G53" i="50"/>
  <c r="F53" i="50"/>
  <c r="E53" i="50"/>
  <c r="D53" i="50"/>
  <c r="C53" i="50"/>
  <c r="J52" i="50"/>
  <c r="J48" i="50"/>
  <c r="L48" i="50"/>
  <c r="J53" i="50"/>
  <c r="J18" i="50"/>
  <c r="J21" i="50"/>
  <c r="J22" i="50"/>
  <c r="J27" i="50"/>
  <c r="L51" i="50"/>
  <c r="L50" i="50"/>
  <c r="L49" i="50"/>
  <c r="L47" i="50"/>
  <c r="L46" i="50"/>
  <c r="L45" i="50"/>
  <c r="L44" i="50"/>
  <c r="L43" i="50"/>
  <c r="L42" i="50"/>
  <c r="L41" i="50"/>
  <c r="L40" i="50"/>
  <c r="L39" i="50"/>
  <c r="L38" i="50"/>
  <c r="L37" i="50"/>
  <c r="L36" i="50"/>
  <c r="L35" i="50"/>
  <c r="L34" i="50"/>
  <c r="L33" i="50"/>
  <c r="L32" i="50"/>
  <c r="L31" i="50"/>
  <c r="L29" i="50"/>
  <c r="L30" i="50"/>
  <c r="L52" i="50"/>
  <c r="L53" i="50"/>
  <c r="M53" i="50"/>
  <c r="I27" i="50"/>
  <c r="H27" i="50"/>
  <c r="H18" i="50"/>
  <c r="H22" i="50"/>
  <c r="G27" i="50"/>
  <c r="F27" i="50"/>
  <c r="E27" i="50"/>
  <c r="D27" i="50"/>
  <c r="D18" i="50"/>
  <c r="D22" i="50"/>
  <c r="D59" i="50"/>
  <c r="C27" i="50"/>
  <c r="L26" i="50"/>
  <c r="L25" i="50"/>
  <c r="L24" i="50"/>
  <c r="I22" i="50"/>
  <c r="G22" i="50"/>
  <c r="F22" i="50"/>
  <c r="F18" i="50"/>
  <c r="F59" i="50"/>
  <c r="E22" i="50"/>
  <c r="C22" i="50"/>
  <c r="L21" i="50"/>
  <c r="L20" i="50"/>
  <c r="L22" i="50"/>
  <c r="M22" i="50"/>
  <c r="G18" i="50"/>
  <c r="G59" i="50"/>
  <c r="E18" i="50"/>
  <c r="C18" i="50"/>
  <c r="L17" i="50"/>
  <c r="L16" i="50"/>
  <c r="L15" i="50"/>
  <c r="I14" i="50"/>
  <c r="I18" i="50"/>
  <c r="I59" i="50"/>
  <c r="L13" i="50"/>
  <c r="L12" i="50"/>
  <c r="L11" i="50"/>
  <c r="L10" i="50"/>
  <c r="L9" i="50"/>
  <c r="L8" i="50"/>
  <c r="L6" i="50"/>
  <c r="L7" i="50"/>
  <c r="L14" i="50"/>
  <c r="L48" i="49"/>
  <c r="K48" i="49"/>
  <c r="J48" i="49"/>
  <c r="E47" i="49"/>
  <c r="D47" i="49"/>
  <c r="C47" i="49"/>
  <c r="E46" i="49"/>
  <c r="D46" i="49"/>
  <c r="C46" i="49"/>
  <c r="C36" i="49"/>
  <c r="C55" i="49"/>
  <c r="C64" i="49"/>
  <c r="C72" i="49"/>
  <c r="E45" i="49"/>
  <c r="E43" i="49"/>
  <c r="E44" i="49"/>
  <c r="E48" i="49"/>
  <c r="D45" i="49"/>
  <c r="C45" i="49"/>
  <c r="C43" i="49"/>
  <c r="C44" i="49"/>
  <c r="C48" i="49"/>
  <c r="E34" i="49"/>
  <c r="E53" i="49"/>
  <c r="E62" i="49"/>
  <c r="E70" i="49"/>
  <c r="D44" i="49"/>
  <c r="D43" i="49"/>
  <c r="D33" i="49"/>
  <c r="D52" i="49"/>
  <c r="L38" i="49"/>
  <c r="K38" i="49"/>
  <c r="J38" i="49"/>
  <c r="M37" i="49"/>
  <c r="E37" i="49"/>
  <c r="E82" i="49"/>
  <c r="D37" i="49"/>
  <c r="C37" i="49"/>
  <c r="M36" i="49"/>
  <c r="M33" i="49"/>
  <c r="M34" i="49"/>
  <c r="M35" i="49"/>
  <c r="M38" i="49"/>
  <c r="E36" i="49"/>
  <c r="D36" i="49"/>
  <c r="F36" i="49"/>
  <c r="C81" i="49"/>
  <c r="E35" i="49"/>
  <c r="E80" i="49"/>
  <c r="D35" i="49"/>
  <c r="C35" i="49"/>
  <c r="C54" i="49"/>
  <c r="D34" i="49"/>
  <c r="D79" i="49"/>
  <c r="C34" i="49"/>
  <c r="C53" i="49"/>
  <c r="C62" i="49"/>
  <c r="E33" i="49"/>
  <c r="D78" i="49"/>
  <c r="C33" i="49"/>
  <c r="C78" i="49"/>
  <c r="E78" i="49"/>
  <c r="F78" i="49"/>
  <c r="D13" i="49"/>
  <c r="D15" i="49" s="1"/>
  <c r="G14" i="49" s="1"/>
  <c r="D14" i="49"/>
  <c r="C13" i="49"/>
  <c r="C14" i="49"/>
  <c r="E14" i="49"/>
  <c r="E13" i="49"/>
  <c r="D53" i="49"/>
  <c r="F53" i="49"/>
  <c r="C80" i="49"/>
  <c r="AP60" i="46"/>
  <c r="O3" i="47"/>
  <c r="Y62" i="46"/>
  <c r="AC62" i="46"/>
  <c r="AD62" i="46"/>
  <c r="AB27" i="46"/>
  <c r="AB62" i="46"/>
  <c r="AC22" i="46"/>
  <c r="U27" i="46"/>
  <c r="W22" i="46"/>
  <c r="W27" i="46"/>
  <c r="X27" i="46"/>
  <c r="M27" i="46"/>
  <c r="M62" i="46"/>
  <c r="N62" i="46"/>
  <c r="J62" i="46"/>
  <c r="AO22" i="46"/>
  <c r="AN62" i="46"/>
  <c r="AM27" i="46"/>
  <c r="AM62" i="46"/>
  <c r="AL27" i="46"/>
  <c r="AL62" i="46"/>
  <c r="AK22" i="46"/>
  <c r="AK27" i="46"/>
  <c r="AJ27" i="46"/>
  <c r="AI22" i="46"/>
  <c r="AI27" i="46"/>
  <c r="AI62" i="46"/>
  <c r="AH62" i="46"/>
  <c r="D81" i="49"/>
  <c r="F37" i="49"/>
  <c r="D55" i="49"/>
  <c r="D64" i="49"/>
  <c r="D72" i="49"/>
  <c r="C63" i="49"/>
  <c r="C52" i="49"/>
  <c r="C61" i="49"/>
  <c r="C69" i="49"/>
  <c r="E52" i="49"/>
  <c r="E56" i="49"/>
  <c r="E65" i="49"/>
  <c r="E73" i="49"/>
  <c r="E38" i="49"/>
  <c r="E99" i="49"/>
  <c r="F34" i="49"/>
  <c r="C79" i="49"/>
  <c r="AJ62" i="46"/>
  <c r="AL56" i="46"/>
  <c r="G27" i="46"/>
  <c r="K31" i="46"/>
  <c r="AD22" i="46"/>
  <c r="AD27" i="46"/>
  <c r="AP39" i="46"/>
  <c r="K46" i="46"/>
  <c r="E61" i="49"/>
  <c r="E69" i="49"/>
  <c r="C71" i="49"/>
  <c r="C70" i="49"/>
  <c r="AC25" i="46"/>
  <c r="AC27" i="46"/>
  <c r="AF25" i="46"/>
  <c r="AC29" i="46"/>
  <c r="AC50" i="46"/>
  <c r="AB7" i="46"/>
  <c r="AF7" i="46" s="1"/>
  <c r="AB10" i="46"/>
  <c r="AB11" i="46"/>
  <c r="AB12" i="46"/>
  <c r="AF12" i="46" s="1"/>
  <c r="AB13" i="46"/>
  <c r="AB29" i="46"/>
  <c r="AB55" i="46"/>
  <c r="AB22" i="46"/>
  <c r="AF55" i="46"/>
  <c r="AF64" i="46"/>
  <c r="AF65" i="46" s="1"/>
  <c r="G17" i="52"/>
  <c r="G18" i="52"/>
  <c r="G59" i="46"/>
  <c r="G15" i="46"/>
  <c r="G55" i="46"/>
  <c r="G38" i="46"/>
  <c r="K38" i="46" s="1"/>
  <c r="AR38" i="46" s="1"/>
  <c r="G50" i="46"/>
  <c r="G10" i="46"/>
  <c r="G13" i="46"/>
  <c r="K13" i="46" s="1"/>
  <c r="G12" i="46"/>
  <c r="G8" i="46"/>
  <c r="G29" i="46"/>
  <c r="G47" i="46"/>
  <c r="K47" i="46" s="1"/>
  <c r="G6" i="46"/>
  <c r="K6" i="46" s="1"/>
  <c r="G7" i="46"/>
  <c r="D14" i="54"/>
  <c r="D18" i="54"/>
  <c r="J18" i="61"/>
  <c r="AP33" i="46"/>
  <c r="D61" i="49"/>
  <c r="D54" i="49"/>
  <c r="D56" i="49"/>
  <c r="D57" i="49"/>
  <c r="E81" i="49"/>
  <c r="F81" i="49"/>
  <c r="D80" i="49"/>
  <c r="D38" i="49"/>
  <c r="F35" i="49"/>
  <c r="C62" i="53"/>
  <c r="E56" i="55"/>
  <c r="E82" i="55"/>
  <c r="F82" i="55"/>
  <c r="F37" i="55"/>
  <c r="F61" i="49"/>
  <c r="C38" i="49"/>
  <c r="D63" i="49"/>
  <c r="E54" i="49"/>
  <c r="E63" i="49"/>
  <c r="E71" i="49"/>
  <c r="D62" i="49"/>
  <c r="E55" i="49"/>
  <c r="D65" i="49"/>
  <c r="D73" i="49"/>
  <c r="D82" i="49"/>
  <c r="D48" i="49"/>
  <c r="L18" i="50"/>
  <c r="C59" i="50"/>
  <c r="C73" i="53"/>
  <c r="E56" i="53"/>
  <c r="E65" i="53"/>
  <c r="E73" i="53"/>
  <c r="F73" i="53"/>
  <c r="C61" i="53"/>
  <c r="C57" i="53"/>
  <c r="E61" i="58"/>
  <c r="E57" i="58"/>
  <c r="C82" i="49"/>
  <c r="C56" i="49"/>
  <c r="C63" i="53"/>
  <c r="D48" i="53"/>
  <c r="E99" i="56"/>
  <c r="E53" i="57"/>
  <c r="E48" i="57"/>
  <c r="E81" i="53"/>
  <c r="F81" i="53"/>
  <c r="F52" i="49"/>
  <c r="F33" i="49"/>
  <c r="F38" i="49"/>
  <c r="N38" i="49"/>
  <c r="E79" i="49"/>
  <c r="F54" i="49"/>
  <c r="E19" i="51"/>
  <c r="E15" i="53"/>
  <c r="H13" i="53" s="1"/>
  <c r="K13" i="53" s="1"/>
  <c r="H14" i="53"/>
  <c r="E80" i="53"/>
  <c r="F80" i="53"/>
  <c r="C83" i="53"/>
  <c r="C64" i="53"/>
  <c r="E55" i="53"/>
  <c r="F55" i="53"/>
  <c r="D61" i="55"/>
  <c r="D57" i="55"/>
  <c r="J59" i="50"/>
  <c r="F34" i="53"/>
  <c r="F35" i="53"/>
  <c r="F36" i="53"/>
  <c r="F38" i="53"/>
  <c r="N38" i="53"/>
  <c r="E82" i="53"/>
  <c r="F82" i="53"/>
  <c r="E64" i="53"/>
  <c r="E72" i="53"/>
  <c r="E54" i="53"/>
  <c r="E63" i="53"/>
  <c r="E71" i="53"/>
  <c r="E53" i="53"/>
  <c r="E62" i="53"/>
  <c r="E70" i="53"/>
  <c r="E79" i="53"/>
  <c r="F79" i="53"/>
  <c r="E52" i="53"/>
  <c r="E78" i="53"/>
  <c r="F78" i="53"/>
  <c r="E38" i="53"/>
  <c r="M38" i="55"/>
  <c r="E81" i="55"/>
  <c r="F81" i="55"/>
  <c r="C73" i="55"/>
  <c r="E55" i="55"/>
  <c r="F55" i="55"/>
  <c r="C64" i="55"/>
  <c r="C63" i="55"/>
  <c r="C62" i="55"/>
  <c r="E53" i="55"/>
  <c r="F53" i="55"/>
  <c r="D63" i="56"/>
  <c r="D71" i="56"/>
  <c r="E53" i="56"/>
  <c r="E62" i="56"/>
  <c r="E70" i="56"/>
  <c r="F34" i="56"/>
  <c r="E79" i="56"/>
  <c r="E83" i="56"/>
  <c r="E61" i="56"/>
  <c r="C61" i="56"/>
  <c r="F52" i="56"/>
  <c r="F35" i="57"/>
  <c r="D54" i="57"/>
  <c r="D63" i="57"/>
  <c r="D71" i="57"/>
  <c r="D80" i="57"/>
  <c r="D70" i="58"/>
  <c r="D74" i="58"/>
  <c r="D66" i="58"/>
  <c r="E64" i="55"/>
  <c r="E72" i="55"/>
  <c r="F36" i="55"/>
  <c r="E54" i="55"/>
  <c r="E63" i="55"/>
  <c r="E71" i="55"/>
  <c r="E80" i="55"/>
  <c r="F35" i="55"/>
  <c r="E62" i="55"/>
  <c r="E70" i="55"/>
  <c r="E79" i="55"/>
  <c r="F79" i="55"/>
  <c r="E52" i="55"/>
  <c r="E78" i="55"/>
  <c r="E38" i="55"/>
  <c r="C52" i="55"/>
  <c r="C38" i="55"/>
  <c r="F33" i="55"/>
  <c r="F80" i="56"/>
  <c r="C83" i="56"/>
  <c r="C65" i="56"/>
  <c r="F56" i="56"/>
  <c r="D69" i="56"/>
  <c r="C53" i="57"/>
  <c r="C79" i="57"/>
  <c r="F79" i="57"/>
  <c r="F34" i="57"/>
  <c r="D61" i="57"/>
  <c r="D55" i="57"/>
  <c r="D57" i="57"/>
  <c r="E59" i="50"/>
  <c r="L27" i="50"/>
  <c r="M27" i="50"/>
  <c r="H59" i="50"/>
  <c r="H25" i="52"/>
  <c r="I25" i="52"/>
  <c r="G30" i="52"/>
  <c r="H30" i="52"/>
  <c r="I30" i="52"/>
  <c r="D52" i="53"/>
  <c r="F80" i="55"/>
  <c r="C78" i="55"/>
  <c r="C54" i="56"/>
  <c r="F35" i="56"/>
  <c r="C55" i="58"/>
  <c r="C81" i="58"/>
  <c r="F81" i="58"/>
  <c r="F36" i="58"/>
  <c r="F38" i="58"/>
  <c r="N38" i="58"/>
  <c r="C15" i="55"/>
  <c r="F13" i="55" s="1"/>
  <c r="I13" i="55" s="1"/>
  <c r="F79" i="56"/>
  <c r="C53" i="58"/>
  <c r="C79" i="58"/>
  <c r="F79" i="58"/>
  <c r="C38" i="58"/>
  <c r="D3" i="54"/>
  <c r="H7" i="54"/>
  <c r="C36" i="62"/>
  <c r="F81" i="56"/>
  <c r="D55" i="56"/>
  <c r="C53" i="56"/>
  <c r="D64" i="57"/>
  <c r="D72" i="57"/>
  <c r="M4" i="61"/>
  <c r="M7" i="61"/>
  <c r="M9" i="61"/>
  <c r="J9" i="61"/>
  <c r="F82" i="56"/>
  <c r="F78" i="56"/>
  <c r="C55" i="57"/>
  <c r="C81" i="57"/>
  <c r="F81" i="57"/>
  <c r="F36" i="57"/>
  <c r="D38" i="57"/>
  <c r="D78" i="57"/>
  <c r="D83" i="57"/>
  <c r="E99" i="58"/>
  <c r="C56" i="57"/>
  <c r="C82" i="57"/>
  <c r="F82" i="57"/>
  <c r="C54" i="57"/>
  <c r="C80" i="57"/>
  <c r="F80" i="57"/>
  <c r="C52" i="57"/>
  <c r="C78" i="57"/>
  <c r="N73" i="47"/>
  <c r="C27" i="62"/>
  <c r="E9" i="61"/>
  <c r="F27" i="61"/>
  <c r="C56" i="58"/>
  <c r="C82" i="58"/>
  <c r="F82" i="58"/>
  <c r="C54" i="58"/>
  <c r="C80" i="58"/>
  <c r="F80" i="58"/>
  <c r="C52" i="58"/>
  <c r="C78" i="58"/>
  <c r="L18" i="61"/>
  <c r="C9" i="62"/>
  <c r="E14" i="61"/>
  <c r="K15" i="61"/>
  <c r="F23" i="62"/>
  <c r="F25" i="62"/>
  <c r="F16" i="62"/>
  <c r="F83" i="53"/>
  <c r="H21" i="53"/>
  <c r="C61" i="58"/>
  <c r="F52" i="58"/>
  <c r="C57" i="58"/>
  <c r="F56" i="58"/>
  <c r="C65" i="58"/>
  <c r="C61" i="57"/>
  <c r="F52" i="57"/>
  <c r="C57" i="57"/>
  <c r="C65" i="57"/>
  <c r="F56" i="57"/>
  <c r="C62" i="56"/>
  <c r="F53" i="56"/>
  <c r="C62" i="58"/>
  <c r="F53" i="58"/>
  <c r="C62" i="57"/>
  <c r="F53" i="57"/>
  <c r="C61" i="55"/>
  <c r="C57" i="55"/>
  <c r="F52" i="55"/>
  <c r="E99" i="53"/>
  <c r="E83" i="49"/>
  <c r="F79" i="49"/>
  <c r="F56" i="49"/>
  <c r="F55" i="49"/>
  <c r="F57" i="49"/>
  <c r="C65" i="49"/>
  <c r="C70" i="53"/>
  <c r="F70" i="53"/>
  <c r="F62" i="53"/>
  <c r="F78" i="55"/>
  <c r="F83" i="55"/>
  <c r="H21" i="55"/>
  <c r="C83" i="55"/>
  <c r="E99" i="55"/>
  <c r="E66" i="56"/>
  <c r="E69" i="56"/>
  <c r="E74" i="56"/>
  <c r="C70" i="55"/>
  <c r="F70" i="55"/>
  <c r="F62" i="55"/>
  <c r="C72" i="53"/>
  <c r="F72" i="53"/>
  <c r="F64" i="53"/>
  <c r="F82" i="49"/>
  <c r="C69" i="53"/>
  <c r="C66" i="53"/>
  <c r="D61" i="53"/>
  <c r="E61" i="53"/>
  <c r="F61" i="53"/>
  <c r="E65" i="55"/>
  <c r="F56" i="55"/>
  <c r="F80" i="49"/>
  <c r="D83" i="49"/>
  <c r="D69" i="49"/>
  <c r="D66" i="49"/>
  <c r="F54" i="58"/>
  <c r="C63" i="58"/>
  <c r="F78" i="58"/>
  <c r="F83" i="58"/>
  <c r="H21" i="58"/>
  <c r="C83" i="58"/>
  <c r="F26" i="62"/>
  <c r="F78" i="57"/>
  <c r="F83" i="57"/>
  <c r="H21" i="57"/>
  <c r="C83" i="57"/>
  <c r="F83" i="56"/>
  <c r="H21" i="56"/>
  <c r="E61" i="55"/>
  <c r="E57" i="55"/>
  <c r="C69" i="56"/>
  <c r="F61" i="56"/>
  <c r="F38" i="56"/>
  <c r="N38" i="56"/>
  <c r="C71" i="55"/>
  <c r="F71" i="55"/>
  <c r="F63" i="55"/>
  <c r="D69" i="55"/>
  <c r="D74" i="55"/>
  <c r="D66" i="55"/>
  <c r="E62" i="57"/>
  <c r="E57" i="57"/>
  <c r="E69" i="58"/>
  <c r="E74" i="58"/>
  <c r="E66" i="58"/>
  <c r="F65" i="53"/>
  <c r="F63" i="49"/>
  <c r="D71" i="49"/>
  <c r="F71" i="49"/>
  <c r="E57" i="49"/>
  <c r="F53" i="53"/>
  <c r="E57" i="56"/>
  <c r="C72" i="55"/>
  <c r="F72" i="55"/>
  <c r="F64" i="55"/>
  <c r="D64" i="56"/>
  <c r="F55" i="56"/>
  <c r="D69" i="57"/>
  <c r="D74" i="57"/>
  <c r="D66" i="57"/>
  <c r="F65" i="56"/>
  <c r="C73" i="56"/>
  <c r="F73" i="56"/>
  <c r="D57" i="56"/>
  <c r="E83" i="53"/>
  <c r="F54" i="53"/>
  <c r="D18" i="62"/>
  <c r="C63" i="57"/>
  <c r="F54" i="57"/>
  <c r="F55" i="57"/>
  <c r="C64" i="57"/>
  <c r="C64" i="58"/>
  <c r="F55" i="58"/>
  <c r="C63" i="56"/>
  <c r="F54" i="56"/>
  <c r="F57" i="56"/>
  <c r="D57" i="53"/>
  <c r="F38" i="57"/>
  <c r="N38" i="57"/>
  <c r="F38" i="55"/>
  <c r="N38" i="55"/>
  <c r="E83" i="55"/>
  <c r="C57" i="56"/>
  <c r="F54" i="55"/>
  <c r="E57" i="53"/>
  <c r="F56" i="53"/>
  <c r="C57" i="49"/>
  <c r="C71" i="53"/>
  <c r="F71" i="53"/>
  <c r="F63" i="53"/>
  <c r="C83" i="49"/>
  <c r="F52" i="53"/>
  <c r="M18" i="50"/>
  <c r="M59" i="50"/>
  <c r="L59" i="50"/>
  <c r="C60" i="50"/>
  <c r="E64" i="49"/>
  <c r="D70" i="49"/>
  <c r="F70" i="49"/>
  <c r="F62" i="49"/>
  <c r="F8" i="62"/>
  <c r="C71" i="58"/>
  <c r="F71" i="58"/>
  <c r="F63" i="58"/>
  <c r="F66" i="53"/>
  <c r="F57" i="55"/>
  <c r="F64" i="49"/>
  <c r="F65" i="49"/>
  <c r="F66" i="49"/>
  <c r="E72" i="49"/>
  <c r="E66" i="49"/>
  <c r="D69" i="53"/>
  <c r="D74" i="53"/>
  <c r="D66" i="53"/>
  <c r="F24" i="62"/>
  <c r="D74" i="49"/>
  <c r="F69" i="49"/>
  <c r="E73" i="55"/>
  <c r="F73" i="55"/>
  <c r="F65" i="55"/>
  <c r="F83" i="49"/>
  <c r="H21" i="49"/>
  <c r="F6" i="52"/>
  <c r="C69" i="57"/>
  <c r="F61" i="57"/>
  <c r="C66" i="57"/>
  <c r="F60" i="50"/>
  <c r="L60" i="50"/>
  <c r="G60" i="50"/>
  <c r="K60" i="50"/>
  <c r="I60" i="50"/>
  <c r="D60" i="50"/>
  <c r="E60" i="50"/>
  <c r="H60" i="50"/>
  <c r="J60" i="50"/>
  <c r="M60" i="50"/>
  <c r="C71" i="56"/>
  <c r="F71" i="56"/>
  <c r="F63" i="56"/>
  <c r="C72" i="57"/>
  <c r="F72" i="57"/>
  <c r="F64" i="57"/>
  <c r="F69" i="56"/>
  <c r="F62" i="56"/>
  <c r="C70" i="56"/>
  <c r="F70" i="56"/>
  <c r="F14" i="62"/>
  <c r="C70" i="57"/>
  <c r="E70" i="57"/>
  <c r="F70" i="57"/>
  <c r="F62" i="57"/>
  <c r="F57" i="57"/>
  <c r="F57" i="53"/>
  <c r="C72" i="58"/>
  <c r="F72" i="58"/>
  <c r="F64" i="58"/>
  <c r="E74" i="57"/>
  <c r="E66" i="57"/>
  <c r="C66" i="56"/>
  <c r="E66" i="55"/>
  <c r="E69" i="55"/>
  <c r="C70" i="58"/>
  <c r="F70" i="58"/>
  <c r="F62" i="58"/>
  <c r="F57" i="58"/>
  <c r="E66" i="53"/>
  <c r="E69" i="53"/>
  <c r="E74" i="53"/>
  <c r="C71" i="57"/>
  <c r="F71" i="57"/>
  <c r="F63" i="57"/>
  <c r="D72" i="56"/>
  <c r="F64" i="56"/>
  <c r="F66" i="56"/>
  <c r="D66" i="56"/>
  <c r="D36" i="62"/>
  <c r="D9" i="62"/>
  <c r="D27" i="62"/>
  <c r="F69" i="53"/>
  <c r="F74" i="53"/>
  <c r="H20" i="53"/>
  <c r="C74" i="53"/>
  <c r="F15" i="62"/>
  <c r="C73" i="49"/>
  <c r="C66" i="49"/>
  <c r="C69" i="55"/>
  <c r="C66" i="55"/>
  <c r="F61" i="55"/>
  <c r="F66" i="55"/>
  <c r="C73" i="57"/>
  <c r="F73" i="57"/>
  <c r="F65" i="57"/>
  <c r="C73" i="58"/>
  <c r="F73" i="58"/>
  <c r="F65" i="58"/>
  <c r="C69" i="58"/>
  <c r="F61" i="58"/>
  <c r="F66" i="58"/>
  <c r="C66" i="58"/>
  <c r="F69" i="55"/>
  <c r="F74" i="55"/>
  <c r="H20" i="55"/>
  <c r="C74" i="55"/>
  <c r="C74" i="56"/>
  <c r="F66" i="57"/>
  <c r="F73" i="49"/>
  <c r="C74" i="49"/>
  <c r="E74" i="55"/>
  <c r="F72" i="56"/>
  <c r="F74" i="56"/>
  <c r="H20" i="56"/>
  <c r="F69" i="57"/>
  <c r="F74" i="57"/>
  <c r="H20" i="57"/>
  <c r="C74" i="57"/>
  <c r="F69" i="58"/>
  <c r="F74" i="58"/>
  <c r="H20" i="58"/>
  <c r="C74" i="58"/>
  <c r="D74" i="56"/>
  <c r="F72" i="49"/>
  <c r="F74" i="49"/>
  <c r="H20" i="49"/>
  <c r="E74" i="49"/>
  <c r="F5" i="52"/>
  <c r="B27" i="62"/>
  <c r="F22" i="62"/>
  <c r="F27" i="62"/>
  <c r="F17" i="62"/>
  <c r="B18" i="62"/>
  <c r="F13" i="62"/>
  <c r="F5" i="62"/>
  <c r="F6" i="62"/>
  <c r="F4" i="62"/>
  <c r="B9" i="62"/>
  <c r="F18" i="62"/>
  <c r="F7" i="62"/>
  <c r="F9" i="62"/>
  <c r="F36" i="62"/>
  <c r="B36" i="62"/>
  <c r="E15" i="55"/>
  <c r="H14" i="55" s="1"/>
  <c r="G62" i="46"/>
  <c r="K20" i="46"/>
  <c r="AG11" i="47"/>
  <c r="AP24" i="46"/>
  <c r="AP27" i="46" s="1"/>
  <c r="AE62" i="46"/>
  <c r="Z32" i="46"/>
  <c r="V62" i="46"/>
  <c r="AP14" i="46"/>
  <c r="D15" i="56"/>
  <c r="E15" i="56"/>
  <c r="H14" i="56" s="1"/>
  <c r="H13" i="56"/>
  <c r="K13" i="56" s="1"/>
  <c r="E93" i="56" s="1"/>
  <c r="E94" i="56" s="1"/>
  <c r="AP13" i="46"/>
  <c r="AR59" i="46"/>
  <c r="AR26" i="46"/>
  <c r="M22" i="46"/>
  <c r="E27" i="46"/>
  <c r="E63" i="46"/>
  <c r="E64" i="46"/>
  <c r="J13" i="53"/>
  <c r="J15" i="53" s="1"/>
  <c r="C58" i="46"/>
  <c r="AF34" i="46"/>
  <c r="C108" i="63"/>
  <c r="C82" i="63"/>
  <c r="C105" i="63"/>
  <c r="K56" i="63"/>
  <c r="C31" i="63"/>
  <c r="E15" i="49"/>
  <c r="H14" i="49"/>
  <c r="D56" i="63"/>
  <c r="AF27" i="46"/>
  <c r="H15" i="53"/>
  <c r="C26" i="61"/>
  <c r="C19" i="61"/>
  <c r="E99" i="63"/>
  <c r="F28" i="63"/>
  <c r="E107" i="63"/>
  <c r="B26" i="61"/>
  <c r="C60" i="63"/>
  <c r="C109" i="63"/>
  <c r="C101" i="63"/>
  <c r="D98" i="63"/>
  <c r="L57" i="63"/>
  <c r="D83" i="63"/>
  <c r="C27" i="61"/>
  <c r="K17" i="61"/>
  <c r="E86" i="63"/>
  <c r="C58" i="63"/>
  <c r="R18" i="64"/>
  <c r="P8" i="65"/>
  <c r="P8" i="66"/>
  <c r="P16" i="65"/>
  <c r="P16" i="66"/>
  <c r="P17" i="65"/>
  <c r="P17" i="66"/>
  <c r="H13" i="49"/>
  <c r="K13" i="49" s="1"/>
  <c r="F82" i="63"/>
  <c r="K15" i="53"/>
  <c r="E93" i="53"/>
  <c r="E26" i="61"/>
  <c r="D30" i="65"/>
  <c r="P15" i="65"/>
  <c r="P30" i="65"/>
  <c r="D30" i="66"/>
  <c r="P15" i="66"/>
  <c r="P30" i="66"/>
  <c r="R14" i="64"/>
  <c r="Q30" i="64"/>
  <c r="AN41" i="47"/>
  <c r="Z41" i="47"/>
  <c r="AA41" i="47"/>
  <c r="Z47" i="47"/>
  <c r="AA47" i="47" s="1"/>
  <c r="O47" i="47"/>
  <c r="O61" i="47"/>
  <c r="O68" i="47"/>
  <c r="O69" i="47"/>
  <c r="AN9" i="47"/>
  <c r="Z9" i="47"/>
  <c r="AN47" i="47"/>
  <c r="R17" i="64"/>
  <c r="M51" i="47" l="1"/>
  <c r="V51" i="47" s="1"/>
  <c r="AN51" i="47" s="1"/>
  <c r="M43" i="47"/>
  <c r="V43" i="47" s="1"/>
  <c r="Z10" i="47"/>
  <c r="AA10" i="47" s="1"/>
  <c r="Z36" i="47"/>
  <c r="AA36" i="47" s="1"/>
  <c r="K15" i="49"/>
  <c r="E93" i="49"/>
  <c r="G13" i="55"/>
  <c r="J13" i="55" s="1"/>
  <c r="D93" i="55" s="1"/>
  <c r="G14" i="55"/>
  <c r="H14" i="57"/>
  <c r="H13" i="57"/>
  <c r="E100" i="53"/>
  <c r="V18" i="46"/>
  <c r="V63" i="46" s="1"/>
  <c r="B28" i="61"/>
  <c r="E18" i="61"/>
  <c r="E94" i="53"/>
  <c r="E95" i="53" s="1"/>
  <c r="E98" i="53"/>
  <c r="D31" i="63"/>
  <c r="K15" i="56"/>
  <c r="H62" i="46"/>
  <c r="AE27" i="46"/>
  <c r="H18" i="46"/>
  <c r="N22" i="46"/>
  <c r="N63" i="46" s="1"/>
  <c r="P14" i="46"/>
  <c r="Z33" i="46"/>
  <c r="AR34" i="46"/>
  <c r="Z58" i="46"/>
  <c r="Z62" i="46" s="1"/>
  <c r="H27" i="61"/>
  <c r="L27" i="61" s="1"/>
  <c r="L17" i="61"/>
  <c r="K24" i="61"/>
  <c r="E108" i="63"/>
  <c r="D58" i="63"/>
  <c r="S58" i="63" s="1"/>
  <c r="D67" i="63" s="1"/>
  <c r="D75" i="63" s="1"/>
  <c r="D99" i="63"/>
  <c r="K14" i="61"/>
  <c r="M58" i="63"/>
  <c r="K26" i="61"/>
  <c r="D97" i="63"/>
  <c r="P21" i="46"/>
  <c r="P22" i="46" s="1"/>
  <c r="H27" i="46"/>
  <c r="R27" i="46"/>
  <c r="Z24" i="46"/>
  <c r="Z27" i="46" s="1"/>
  <c r="R22" i="46"/>
  <c r="Z10" i="46"/>
  <c r="AB56" i="46"/>
  <c r="I56" i="46"/>
  <c r="AP11" i="46"/>
  <c r="AR48" i="46"/>
  <c r="C15" i="53"/>
  <c r="F13" i="53" s="1"/>
  <c r="F99" i="63"/>
  <c r="C29" i="61"/>
  <c r="E58" i="63"/>
  <c r="T58" i="63" s="1"/>
  <c r="E67" i="63" s="1"/>
  <c r="E75" i="63" s="1"/>
  <c r="G13" i="49"/>
  <c r="K36" i="46"/>
  <c r="K18" i="61"/>
  <c r="I18" i="61"/>
  <c r="K16" i="61"/>
  <c r="K8" i="46"/>
  <c r="C15" i="49"/>
  <c r="F13" i="49" s="1"/>
  <c r="K43" i="46"/>
  <c r="AR43" i="46" s="1"/>
  <c r="K21" i="46"/>
  <c r="K22" i="46" s="1"/>
  <c r="J18" i="46"/>
  <c r="P46" i="46"/>
  <c r="AR46" i="46" s="1"/>
  <c r="P29" i="46"/>
  <c r="P12" i="46"/>
  <c r="P10" i="46"/>
  <c r="W56" i="46"/>
  <c r="Z11" i="46"/>
  <c r="AF10" i="46"/>
  <c r="AF8" i="46"/>
  <c r="AC18" i="46"/>
  <c r="AC63" i="46" s="1"/>
  <c r="AP46" i="46"/>
  <c r="AM18" i="46"/>
  <c r="H13" i="55"/>
  <c r="C15" i="56"/>
  <c r="F13" i="56" s="1"/>
  <c r="I13" i="56" s="1"/>
  <c r="I28" i="61"/>
  <c r="B24" i="61"/>
  <c r="E24" i="61" s="1"/>
  <c r="T59" i="63"/>
  <c r="E68" i="63" s="1"/>
  <c r="E76" i="63" s="1"/>
  <c r="M57" i="63"/>
  <c r="T57" i="63" s="1"/>
  <c r="E66" i="63" s="1"/>
  <c r="E74" i="63" s="1"/>
  <c r="F26" i="63"/>
  <c r="AE56" i="46"/>
  <c r="AP62" i="46"/>
  <c r="AP31" i="46"/>
  <c r="X27" i="47"/>
  <c r="X68" i="47" s="1"/>
  <c r="I15" i="63"/>
  <c r="I21" i="63" s="1"/>
  <c r="M56" i="63"/>
  <c r="Z44" i="47"/>
  <c r="AA44" i="47" s="1"/>
  <c r="Z17" i="47"/>
  <c r="AA17" i="47" s="1"/>
  <c r="K60" i="63"/>
  <c r="E31" i="63"/>
  <c r="K59" i="63"/>
  <c r="K15" i="46"/>
  <c r="AR15" i="46" s="1"/>
  <c r="AC56" i="46"/>
  <c r="G22" i="46"/>
  <c r="I22" i="46"/>
  <c r="K14" i="46"/>
  <c r="AR14" i="46" s="1"/>
  <c r="K10" i="46"/>
  <c r="K50" i="46"/>
  <c r="P11" i="46"/>
  <c r="P6" i="46"/>
  <c r="Z46" i="46"/>
  <c r="Z7" i="46"/>
  <c r="AF13" i="46"/>
  <c r="AF11" i="46"/>
  <c r="AP55" i="46"/>
  <c r="AO56" i="46"/>
  <c r="AP12" i="46"/>
  <c r="AK18" i="46"/>
  <c r="S62" i="46"/>
  <c r="F29" i="63"/>
  <c r="C85" i="63"/>
  <c r="E56" i="63"/>
  <c r="E61" i="63" s="1"/>
  <c r="C53" i="46"/>
  <c r="AR53" i="46" s="1"/>
  <c r="C27" i="47"/>
  <c r="I13" i="53"/>
  <c r="H56" i="46"/>
  <c r="AP7" i="46"/>
  <c r="C15" i="57"/>
  <c r="F13" i="57"/>
  <c r="G13" i="58"/>
  <c r="D15" i="58"/>
  <c r="D40" i="54"/>
  <c r="G6" i="54" s="1"/>
  <c r="H6" i="54" s="1"/>
  <c r="R60" i="63"/>
  <c r="N59" i="63"/>
  <c r="R59" i="63"/>
  <c r="K7" i="46"/>
  <c r="D93" i="53"/>
  <c r="G14" i="53"/>
  <c r="G15" i="53" s="1"/>
  <c r="J15" i="55"/>
  <c r="K32" i="46"/>
  <c r="AR32" i="46" s="1"/>
  <c r="P31" i="46"/>
  <c r="M56" i="46"/>
  <c r="M63" i="46" s="1"/>
  <c r="R62" i="46"/>
  <c r="Z21" i="46"/>
  <c r="AR21" i="46" s="1"/>
  <c r="T18" i="46"/>
  <c r="I15" i="61"/>
  <c r="F19" i="61"/>
  <c r="F25" i="61"/>
  <c r="F29" i="61" s="1"/>
  <c r="J15" i="61"/>
  <c r="J24" i="61"/>
  <c r="E109" i="63"/>
  <c r="M60" i="63"/>
  <c r="T60" i="63" s="1"/>
  <c r="E69" i="63" s="1"/>
  <c r="E77" i="63" s="1"/>
  <c r="D86" i="63"/>
  <c r="F86" i="63" s="1"/>
  <c r="D60" i="63"/>
  <c r="S60" i="63" s="1"/>
  <c r="D69" i="63" s="1"/>
  <c r="D77" i="63" s="1"/>
  <c r="D109" i="63"/>
  <c r="F109" i="63" s="1"/>
  <c r="F30" i="63"/>
  <c r="L60" i="63"/>
  <c r="N60" i="63" s="1"/>
  <c r="AR51" i="46"/>
  <c r="E18" i="47"/>
  <c r="H18" i="47"/>
  <c r="Z43" i="47"/>
  <c r="AB43" i="47" s="1"/>
  <c r="D101" i="63"/>
  <c r="F101" i="63" s="1"/>
  <c r="O56" i="46"/>
  <c r="G18" i="46"/>
  <c r="I13" i="49"/>
  <c r="G13" i="56"/>
  <c r="G14" i="56"/>
  <c r="M18" i="61"/>
  <c r="H22" i="46"/>
  <c r="H63" i="46" s="1"/>
  <c r="H64" i="46" s="1"/>
  <c r="K11" i="46"/>
  <c r="I18" i="46"/>
  <c r="P32" i="46"/>
  <c r="N56" i="46"/>
  <c r="P8" i="46"/>
  <c r="O18" i="46"/>
  <c r="O63" i="46" s="1"/>
  <c r="P7" i="46"/>
  <c r="Z47" i="46"/>
  <c r="AR47" i="46" s="1"/>
  <c r="S56" i="46"/>
  <c r="S63" i="46" s="1"/>
  <c r="S64" i="46" s="1"/>
  <c r="Z12" i="46"/>
  <c r="X18" i="46"/>
  <c r="Z6" i="46"/>
  <c r="G27" i="61"/>
  <c r="G19" i="61"/>
  <c r="I17" i="61"/>
  <c r="D25" i="61"/>
  <c r="D29" i="61" s="1"/>
  <c r="D19" i="61"/>
  <c r="E15" i="61"/>
  <c r="L15" i="61"/>
  <c r="C107" i="63"/>
  <c r="F107" i="63" s="1"/>
  <c r="K58" i="63"/>
  <c r="D57" i="63"/>
  <c r="F57" i="63" s="1"/>
  <c r="F27" i="63"/>
  <c r="F31" i="63" s="1"/>
  <c r="D106" i="63"/>
  <c r="C97" i="63"/>
  <c r="C56" i="63"/>
  <c r="D105" i="63"/>
  <c r="L56" i="63"/>
  <c r="L61" i="63" s="1"/>
  <c r="V44" i="47"/>
  <c r="E61" i="47"/>
  <c r="M63" i="47"/>
  <c r="E15" i="58"/>
  <c r="H13" i="58" s="1"/>
  <c r="E95" i="56"/>
  <c r="E98" i="56"/>
  <c r="E100" i="56" s="1"/>
  <c r="M17" i="61"/>
  <c r="I15" i="55"/>
  <c r="C93" i="55"/>
  <c r="F14" i="56"/>
  <c r="F15" i="56" s="1"/>
  <c r="K12" i="46"/>
  <c r="AR12" i="46" s="1"/>
  <c r="U22" i="46"/>
  <c r="Z20" i="46"/>
  <c r="AR33" i="46"/>
  <c r="AI56" i="46"/>
  <c r="AP36" i="46"/>
  <c r="AR36" i="46" s="1"/>
  <c r="AK56" i="46"/>
  <c r="AP29" i="46"/>
  <c r="AH56" i="46"/>
  <c r="AH22" i="46"/>
  <c r="AP20" i="46"/>
  <c r="AP22" i="46" s="1"/>
  <c r="AN18" i="46"/>
  <c r="AN63" i="46" s="1"/>
  <c r="AN64" i="46" s="1"/>
  <c r="AL18" i="46"/>
  <c r="AL63" i="46" s="1"/>
  <c r="AL64" i="46" s="1"/>
  <c r="AP6" i="46"/>
  <c r="AH18" i="46"/>
  <c r="Z41" i="46"/>
  <c r="AR41" i="46" s="1"/>
  <c r="R56" i="46"/>
  <c r="F14" i="53"/>
  <c r="F15" i="53" s="1"/>
  <c r="F14" i="57"/>
  <c r="G14" i="58"/>
  <c r="C15" i="58"/>
  <c r="F14" i="58" s="1"/>
  <c r="F15" i="55"/>
  <c r="AF50" i="46"/>
  <c r="AF56" i="46" s="1"/>
  <c r="AR61" i="46"/>
  <c r="Z14" i="46"/>
  <c r="Z13" i="46"/>
  <c r="AR13" i="46" s="1"/>
  <c r="T56" i="46"/>
  <c r="Z29" i="46"/>
  <c r="W18" i="46"/>
  <c r="W63" i="46" s="1"/>
  <c r="AF22" i="46"/>
  <c r="AE18" i="46"/>
  <c r="AF6" i="46"/>
  <c r="AD18" i="46"/>
  <c r="AO18" i="46"/>
  <c r="AO63" i="46" s="1"/>
  <c r="AO64" i="46" s="1"/>
  <c r="AJ18" i="46"/>
  <c r="AJ63" i="46" s="1"/>
  <c r="AJ64" i="46" s="1"/>
  <c r="F14" i="55"/>
  <c r="J16" i="61"/>
  <c r="M16" i="61" s="1"/>
  <c r="F26" i="61"/>
  <c r="H24" i="61"/>
  <c r="L14" i="61"/>
  <c r="H19" i="61"/>
  <c r="I14" i="61"/>
  <c r="I19" i="61" s="1"/>
  <c r="H15" i="49"/>
  <c r="H15" i="56"/>
  <c r="G56" i="46"/>
  <c r="K29" i="46"/>
  <c r="AB63" i="46"/>
  <c r="R18" i="46"/>
  <c r="U18" i="46"/>
  <c r="AM63" i="46"/>
  <c r="AM64" i="46" s="1"/>
  <c r="J28" i="61"/>
  <c r="M28" i="61" s="1"/>
  <c r="E28" i="61"/>
  <c r="B27" i="61"/>
  <c r="B29" i="61" s="1"/>
  <c r="E17" i="61"/>
  <c r="B19" i="61"/>
  <c r="I24" i="61"/>
  <c r="X67" i="47"/>
  <c r="G18" i="47"/>
  <c r="H61" i="47"/>
  <c r="G15" i="55"/>
  <c r="K39" i="46"/>
  <c r="AR39" i="46" s="1"/>
  <c r="N27" i="46"/>
  <c r="P25" i="46"/>
  <c r="X56" i="46"/>
  <c r="Y18" i="46"/>
  <c r="Y63" i="46" s="1"/>
  <c r="AD56" i="46"/>
  <c r="AP10" i="46"/>
  <c r="AI18" i="46"/>
  <c r="AI63" i="46" s="1"/>
  <c r="AI64" i="46" s="1"/>
  <c r="D15" i="57"/>
  <c r="D108" i="63"/>
  <c r="D100" i="63"/>
  <c r="D85" i="63"/>
  <c r="D87" i="63" s="1"/>
  <c r="D59" i="63"/>
  <c r="E106" i="63"/>
  <c r="C98" i="63"/>
  <c r="F98" i="63" s="1"/>
  <c r="C83" i="63"/>
  <c r="K57" i="63"/>
  <c r="C106" i="63"/>
  <c r="G61" i="47"/>
  <c r="E83" i="63"/>
  <c r="E87" i="63" s="1"/>
  <c r="AR31" i="46"/>
  <c r="Z56" i="47"/>
  <c r="AA56" i="47" s="1"/>
  <c r="K55" i="46"/>
  <c r="L18" i="47"/>
  <c r="M37" i="47"/>
  <c r="Z37" i="47" s="1"/>
  <c r="J56" i="46"/>
  <c r="J63" i="46" s="1"/>
  <c r="AR55" i="46"/>
  <c r="J18" i="47"/>
  <c r="K40" i="46"/>
  <c r="F18" i="47"/>
  <c r="M42" i="47"/>
  <c r="Z42" i="47" s="1"/>
  <c r="AA42" i="47" s="1"/>
  <c r="Z34" i="47"/>
  <c r="AA34" i="47" s="1"/>
  <c r="AR24" i="46"/>
  <c r="C20" i="46"/>
  <c r="C22" i="46" s="1"/>
  <c r="C61" i="47"/>
  <c r="C18" i="47"/>
  <c r="F61" i="47"/>
  <c r="M25" i="47"/>
  <c r="Z25" i="47" s="1"/>
  <c r="AA25" i="47" s="1"/>
  <c r="Z48" i="47"/>
  <c r="AA48" i="47" s="1"/>
  <c r="V48" i="47"/>
  <c r="M32" i="47"/>
  <c r="Z32" i="47" s="1"/>
  <c r="AA32" i="47" s="1"/>
  <c r="M40" i="47"/>
  <c r="V40" i="47" s="1"/>
  <c r="AN40" i="47" s="1"/>
  <c r="M39" i="47"/>
  <c r="Z39" i="47" s="1"/>
  <c r="AA39" i="47" s="1"/>
  <c r="J61" i="47"/>
  <c r="V38" i="47"/>
  <c r="AN38" i="47" s="1"/>
  <c r="Z38" i="47"/>
  <c r="AA38" i="47" s="1"/>
  <c r="M53" i="47"/>
  <c r="V53" i="47" s="1"/>
  <c r="M35" i="47"/>
  <c r="V35" i="47" s="1"/>
  <c r="AN35" i="47" s="1"/>
  <c r="M50" i="47"/>
  <c r="Z50" i="47" s="1"/>
  <c r="AA50" i="47" s="1"/>
  <c r="M6" i="47"/>
  <c r="Z6" i="47" s="1"/>
  <c r="AA6" i="47" s="1"/>
  <c r="M60" i="47"/>
  <c r="V60" i="47" s="1"/>
  <c r="M54" i="47"/>
  <c r="V54" i="47" s="1"/>
  <c r="AN54" i="47" s="1"/>
  <c r="Z66" i="47"/>
  <c r="AA66" i="47" s="1"/>
  <c r="V66" i="47"/>
  <c r="D16" i="64"/>
  <c r="R16" i="64" s="1"/>
  <c r="K67" i="47"/>
  <c r="K27" i="47"/>
  <c r="K18" i="47"/>
  <c r="V17" i="47"/>
  <c r="AN17" i="47" s="1"/>
  <c r="V26" i="47"/>
  <c r="Z26" i="47"/>
  <c r="Z64" i="47"/>
  <c r="AA64" i="47" s="1"/>
  <c r="M14" i="47"/>
  <c r="V14" i="47" s="1"/>
  <c r="M21" i="47"/>
  <c r="V21" i="47" s="1"/>
  <c r="V22" i="47" s="1"/>
  <c r="W22" i="47" s="1"/>
  <c r="C22" i="47"/>
  <c r="C29" i="46"/>
  <c r="M55" i="47"/>
  <c r="M8" i="47"/>
  <c r="AB8" i="47" s="1"/>
  <c r="C60" i="46"/>
  <c r="M65" i="47"/>
  <c r="V65" i="47" s="1"/>
  <c r="AN65" i="47" s="1"/>
  <c r="M13" i="47"/>
  <c r="V13" i="47" s="1"/>
  <c r="M7" i="47"/>
  <c r="V7" i="47" s="1"/>
  <c r="C7" i="46"/>
  <c r="AR7" i="46" s="1"/>
  <c r="M12" i="47"/>
  <c r="V12" i="47" s="1"/>
  <c r="Z30" i="47"/>
  <c r="AA30" i="47" s="1"/>
  <c r="L61" i="47"/>
  <c r="Z52" i="47"/>
  <c r="AA52" i="47" s="1"/>
  <c r="V52" i="47"/>
  <c r="AN52" i="47" s="1"/>
  <c r="M15" i="47"/>
  <c r="V15" i="47" s="1"/>
  <c r="M11" i="47"/>
  <c r="Z11" i="47" s="1"/>
  <c r="AA11" i="47" s="1"/>
  <c r="I61" i="47"/>
  <c r="M24" i="47"/>
  <c r="V24" i="47" s="1"/>
  <c r="I18" i="47"/>
  <c r="Z20" i="47"/>
  <c r="AB36" i="47" l="1"/>
  <c r="Z51" i="47"/>
  <c r="AA51" i="47" s="1"/>
  <c r="V42" i="47"/>
  <c r="AN42" i="47" s="1"/>
  <c r="Z53" i="47"/>
  <c r="AA53" i="47" s="1"/>
  <c r="AR58" i="46"/>
  <c r="AK63" i="46"/>
  <c r="AK64" i="46" s="1"/>
  <c r="Z22" i="46"/>
  <c r="T56" i="63"/>
  <c r="N56" i="63"/>
  <c r="H14" i="58"/>
  <c r="K19" i="61"/>
  <c r="AR10" i="46"/>
  <c r="L19" i="61"/>
  <c r="AF18" i="46"/>
  <c r="AP18" i="46"/>
  <c r="E19" i="61"/>
  <c r="I63" i="46"/>
  <c r="I64" i="46" s="1"/>
  <c r="F13" i="58"/>
  <c r="H15" i="55"/>
  <c r="K13" i="55"/>
  <c r="F58" i="63"/>
  <c r="F14" i="49"/>
  <c r="F15" i="49" s="1"/>
  <c r="E110" i="63"/>
  <c r="F108" i="63"/>
  <c r="AE63" i="46"/>
  <c r="P18" i="46"/>
  <c r="AR11" i="46"/>
  <c r="M14" i="61"/>
  <c r="M19" i="61" s="1"/>
  <c r="G15" i="49"/>
  <c r="J13" i="49"/>
  <c r="K13" i="57"/>
  <c r="H15" i="57"/>
  <c r="E95" i="49"/>
  <c r="E98" i="49"/>
  <c r="E100" i="49" s="1"/>
  <c r="E94" i="49"/>
  <c r="J68" i="47"/>
  <c r="J77" i="47" s="1"/>
  <c r="J78" i="47" s="1"/>
  <c r="V50" i="47"/>
  <c r="AR20" i="46"/>
  <c r="AR22" i="46" s="1"/>
  <c r="AA43" i="47"/>
  <c r="H68" i="47"/>
  <c r="G35" i="62" s="1"/>
  <c r="I35" i="62" s="1"/>
  <c r="J35" i="62" s="1"/>
  <c r="Z40" i="47"/>
  <c r="AA40" i="47" s="1"/>
  <c r="V25" i="47"/>
  <c r="V27" i="47" s="1"/>
  <c r="W27" i="47" s="1"/>
  <c r="C68" i="47"/>
  <c r="C70" i="47" s="1"/>
  <c r="F85" i="63"/>
  <c r="Z63" i="47"/>
  <c r="AA63" i="47" s="1"/>
  <c r="V63" i="47"/>
  <c r="V67" i="47" s="1"/>
  <c r="W67" i="47" s="1"/>
  <c r="F100" i="63"/>
  <c r="D102" i="63"/>
  <c r="J27" i="61"/>
  <c r="E27" i="61"/>
  <c r="I26" i="61"/>
  <c r="J26" i="61"/>
  <c r="M26" i="61" s="1"/>
  <c r="Z18" i="46"/>
  <c r="G63" i="46"/>
  <c r="G64" i="46" s="1"/>
  <c r="X69" i="47"/>
  <c r="Y18" i="47"/>
  <c r="Y27" i="47"/>
  <c r="Y22" i="47"/>
  <c r="F15" i="57"/>
  <c r="I13" i="57"/>
  <c r="C93" i="56"/>
  <c r="I15" i="56"/>
  <c r="I15" i="53"/>
  <c r="C93" i="53"/>
  <c r="V37" i="47"/>
  <c r="L68" i="47"/>
  <c r="L77" i="47" s="1"/>
  <c r="AR8" i="46"/>
  <c r="F106" i="63"/>
  <c r="G68" i="47"/>
  <c r="R63" i="46"/>
  <c r="R64" i="46" s="1"/>
  <c r="AD63" i="46"/>
  <c r="AP56" i="46"/>
  <c r="D110" i="63"/>
  <c r="E65" i="63"/>
  <c r="T61" i="63"/>
  <c r="S57" i="63"/>
  <c r="D66" i="63" s="1"/>
  <c r="D74" i="63" s="1"/>
  <c r="D61" i="63"/>
  <c r="X63" i="46"/>
  <c r="I15" i="49"/>
  <c r="C93" i="49"/>
  <c r="AR6" i="46"/>
  <c r="AR18" i="46" s="1"/>
  <c r="J19" i="61"/>
  <c r="M15" i="61"/>
  <c r="T63" i="46"/>
  <c r="D98" i="53"/>
  <c r="D94" i="53"/>
  <c r="D99" i="53" s="1"/>
  <c r="U60" i="63"/>
  <c r="C69" i="63"/>
  <c r="M61" i="63"/>
  <c r="F83" i="63"/>
  <c r="F87" i="63" s="1"/>
  <c r="C87" i="63"/>
  <c r="H29" i="61"/>
  <c r="L24" i="61"/>
  <c r="F97" i="63"/>
  <c r="C102" i="63"/>
  <c r="N58" i="63"/>
  <c r="R58" i="63"/>
  <c r="G29" i="61"/>
  <c r="I27" i="61"/>
  <c r="C68" i="63"/>
  <c r="F60" i="63"/>
  <c r="AR25" i="46"/>
  <c r="AR27" i="46" s="1"/>
  <c r="P27" i="46"/>
  <c r="P63" i="46" s="1"/>
  <c r="P65" i="46" s="1"/>
  <c r="U63" i="46"/>
  <c r="C98" i="55"/>
  <c r="C94" i="55"/>
  <c r="L25" i="61"/>
  <c r="E25" i="61"/>
  <c r="E29" i="61" s="1"/>
  <c r="G15" i="56"/>
  <c r="J13" i="56"/>
  <c r="E68" i="47"/>
  <c r="I13" i="58"/>
  <c r="F15" i="58"/>
  <c r="M64" i="46"/>
  <c r="P64" i="46"/>
  <c r="K27" i="61"/>
  <c r="K29" i="61" s="1"/>
  <c r="R57" i="63"/>
  <c r="N57" i="63"/>
  <c r="F59" i="63"/>
  <c r="S59" i="63"/>
  <c r="D68" i="63" s="1"/>
  <c r="D76" i="63" s="1"/>
  <c r="G13" i="57"/>
  <c r="G14" i="57"/>
  <c r="Y67" i="47"/>
  <c r="AF63" i="46"/>
  <c r="Z56" i="46"/>
  <c r="AH63" i="46"/>
  <c r="AH64" i="46" s="1"/>
  <c r="K18" i="46"/>
  <c r="K13" i="58"/>
  <c r="H15" i="58"/>
  <c r="F56" i="63"/>
  <c r="C61" i="63"/>
  <c r="R56" i="63"/>
  <c r="K61" i="63"/>
  <c r="Y61" i="47"/>
  <c r="I25" i="61"/>
  <c r="I29" i="61" s="1"/>
  <c r="J25" i="61"/>
  <c r="P56" i="46"/>
  <c r="D94" i="55"/>
  <c r="D99" i="55" s="1"/>
  <c r="D98" i="55"/>
  <c r="D100" i="55" s="1"/>
  <c r="S56" i="63"/>
  <c r="C110" i="63"/>
  <c r="G15" i="58"/>
  <c r="J13" i="58"/>
  <c r="AR50" i="46"/>
  <c r="F105" i="63"/>
  <c r="K56" i="46"/>
  <c r="AR40" i="46"/>
  <c r="K64" i="46"/>
  <c r="C18" i="46"/>
  <c r="Z60" i="47"/>
  <c r="AA60" i="47" s="1"/>
  <c r="F68" i="47"/>
  <c r="Z35" i="47"/>
  <c r="AA35" i="47" s="1"/>
  <c r="V39" i="47"/>
  <c r="AN39" i="47" s="1"/>
  <c r="V32" i="47"/>
  <c r="AN53" i="47"/>
  <c r="V6" i="47"/>
  <c r="I68" i="47"/>
  <c r="I70" i="47" s="1"/>
  <c r="Z21" i="47"/>
  <c r="AB21" i="47" s="1"/>
  <c r="Z54" i="47"/>
  <c r="AA54" i="47" s="1"/>
  <c r="Z14" i="47"/>
  <c r="AA14" i="47" s="1"/>
  <c r="M22" i="47"/>
  <c r="N22" i="47" s="1"/>
  <c r="AC22" i="47" s="1"/>
  <c r="Z13" i="47"/>
  <c r="AA13" i="47" s="1"/>
  <c r="Z65" i="47"/>
  <c r="Z7" i="47"/>
  <c r="AA7" i="47" s="1"/>
  <c r="AL7" i="47"/>
  <c r="Z8" i="47"/>
  <c r="AA8" i="47" s="1"/>
  <c r="V8" i="47"/>
  <c r="AN8" i="47" s="1"/>
  <c r="M67" i="47"/>
  <c r="AR60" i="46"/>
  <c r="C62" i="46"/>
  <c r="V55" i="47"/>
  <c r="Z55" i="47"/>
  <c r="AA55" i="47" s="1"/>
  <c r="C56" i="46"/>
  <c r="AR29" i="46"/>
  <c r="AR56" i="46" s="1"/>
  <c r="Z12" i="47"/>
  <c r="AA12" i="47" s="1"/>
  <c r="Z15" i="47"/>
  <c r="AA15" i="47" s="1"/>
  <c r="V11" i="47"/>
  <c r="AA37" i="47"/>
  <c r="AB37" i="47"/>
  <c r="M18" i="47"/>
  <c r="N18" i="47" s="1"/>
  <c r="Z24" i="47"/>
  <c r="M27" i="47"/>
  <c r="N27" i="47" s="1"/>
  <c r="AB20" i="47"/>
  <c r="AA20" i="47"/>
  <c r="AN24" i="47"/>
  <c r="D15" i="64"/>
  <c r="R15" i="64" s="1"/>
  <c r="R30" i="64" s="1"/>
  <c r="J80" i="47" l="1"/>
  <c r="J83" i="47" s="1"/>
  <c r="J84" i="47" s="1"/>
  <c r="J70" i="47"/>
  <c r="AA21" i="47"/>
  <c r="C80" i="47"/>
  <c r="C83" i="47" s="1"/>
  <c r="C84" i="47" s="1"/>
  <c r="K15" i="55"/>
  <c r="E93" i="55"/>
  <c r="K63" i="46"/>
  <c r="K65" i="46" s="1"/>
  <c r="N61" i="63"/>
  <c r="D100" i="53"/>
  <c r="E93" i="57"/>
  <c r="K15" i="57"/>
  <c r="C77" i="47"/>
  <c r="AR62" i="46"/>
  <c r="AR63" i="46" s="1"/>
  <c r="AP63" i="46"/>
  <c r="AP64" i="46" s="1"/>
  <c r="J15" i="49"/>
  <c r="D93" i="49"/>
  <c r="L70" i="47"/>
  <c r="C63" i="46"/>
  <c r="C64" i="46" s="1"/>
  <c r="H77" i="47"/>
  <c r="H80" i="47"/>
  <c r="H83" i="47" s="1"/>
  <c r="H84" i="47" s="1"/>
  <c r="J64" i="46"/>
  <c r="H70" i="47"/>
  <c r="C93" i="58"/>
  <c r="I15" i="58"/>
  <c r="G77" i="47"/>
  <c r="G34" i="62"/>
  <c r="I34" i="62" s="1"/>
  <c r="J34" i="62" s="1"/>
  <c r="G80" i="47"/>
  <c r="G83" i="47" s="1"/>
  <c r="G84" i="47" s="1"/>
  <c r="G70" i="47"/>
  <c r="Y68" i="47"/>
  <c r="Z67" i="47"/>
  <c r="AA67" i="47" s="1"/>
  <c r="F110" i="63"/>
  <c r="C94" i="49"/>
  <c r="C95" i="49"/>
  <c r="C98" i="49"/>
  <c r="L80" i="47"/>
  <c r="L83" i="47" s="1"/>
  <c r="L84" i="47" s="1"/>
  <c r="D65" i="63"/>
  <c r="S61" i="63"/>
  <c r="J13" i="57"/>
  <c r="G15" i="57"/>
  <c r="U57" i="63"/>
  <c r="C66" i="63"/>
  <c r="D93" i="56"/>
  <c r="F93" i="56" s="1"/>
  <c r="J15" i="56"/>
  <c r="F102" i="63"/>
  <c r="L29" i="61"/>
  <c r="J13" i="63"/>
  <c r="H13" i="63"/>
  <c r="D95" i="53"/>
  <c r="C98" i="56"/>
  <c r="C94" i="56"/>
  <c r="C95" i="56" s="1"/>
  <c r="M24" i="61"/>
  <c r="Z63" i="46"/>
  <c r="C99" i="55"/>
  <c r="F99" i="55" s="1"/>
  <c r="C76" i="63"/>
  <c r="F76" i="63" s="1"/>
  <c r="I108" i="63" s="1"/>
  <c r="F68" i="63"/>
  <c r="C77" i="63"/>
  <c r="F77" i="63" s="1"/>
  <c r="I109" i="63" s="1"/>
  <c r="F69" i="63"/>
  <c r="F61" i="63"/>
  <c r="G32" i="62"/>
  <c r="I32" i="62" s="1"/>
  <c r="J32" i="62" s="1"/>
  <c r="E70" i="47"/>
  <c r="E80" i="47"/>
  <c r="E83" i="47" s="1"/>
  <c r="E84" i="47" s="1"/>
  <c r="E77" i="47"/>
  <c r="J15" i="58"/>
  <c r="D93" i="58"/>
  <c r="D95" i="55"/>
  <c r="M25" i="61"/>
  <c r="C65" i="63"/>
  <c r="R61" i="63"/>
  <c r="U56" i="63"/>
  <c r="K15" i="58"/>
  <c r="E93" i="58"/>
  <c r="C95" i="55"/>
  <c r="U59" i="63"/>
  <c r="C67" i="63"/>
  <c r="U58" i="63"/>
  <c r="E73" i="63"/>
  <c r="E78" i="63" s="1"/>
  <c r="E70" i="63"/>
  <c r="C94" i="53"/>
  <c r="F93" i="53"/>
  <c r="C98" i="53"/>
  <c r="C93" i="57"/>
  <c r="I15" i="57"/>
  <c r="J29" i="61"/>
  <c r="M27" i="61"/>
  <c r="F70" i="47"/>
  <c r="G33" i="62"/>
  <c r="I33" i="62" s="1"/>
  <c r="J33" i="62" s="1"/>
  <c r="F80" i="47"/>
  <c r="F83" i="47" s="1"/>
  <c r="F84" i="47" s="1"/>
  <c r="F77" i="47"/>
  <c r="I80" i="47"/>
  <c r="I83" i="47" s="1"/>
  <c r="I77" i="47"/>
  <c r="AA65" i="47"/>
  <c r="Z22" i="47"/>
  <c r="AA22" i="47" s="1"/>
  <c r="AS22" i="46"/>
  <c r="V18" i="47"/>
  <c r="W18" i="47" s="1"/>
  <c r="Z18" i="47"/>
  <c r="AA18" i="47" s="1"/>
  <c r="N67" i="47"/>
  <c r="AC67" i="47" s="1"/>
  <c r="AS18" i="46"/>
  <c r="AS27" i="46"/>
  <c r="AC27" i="47"/>
  <c r="Z27" i="47"/>
  <c r="AA27" i="47" s="1"/>
  <c r="AA24" i="47"/>
  <c r="AC18" i="47"/>
  <c r="AL18" i="47"/>
  <c r="C100" i="55" l="1"/>
  <c r="D94" i="49"/>
  <c r="D98" i="49"/>
  <c r="M29" i="61"/>
  <c r="F112" i="63"/>
  <c r="J14" i="63" s="1"/>
  <c r="F93" i="49"/>
  <c r="E98" i="57"/>
  <c r="E100" i="57" s="1"/>
  <c r="E94" i="57"/>
  <c r="E95" i="57" s="1"/>
  <c r="E98" i="55"/>
  <c r="E94" i="55"/>
  <c r="F94" i="55" s="1"/>
  <c r="E95" i="55"/>
  <c r="F93" i="55"/>
  <c r="F95" i="55" s="1"/>
  <c r="Z65" i="46"/>
  <c r="Z64" i="46"/>
  <c r="D73" i="63"/>
  <c r="D78" i="63" s="1"/>
  <c r="D70" i="63"/>
  <c r="C98" i="57"/>
  <c r="C94" i="57"/>
  <c r="F65" i="63"/>
  <c r="C70" i="63"/>
  <c r="C73" i="63"/>
  <c r="C100" i="56"/>
  <c r="C99" i="49"/>
  <c r="F94" i="49"/>
  <c r="F98" i="53"/>
  <c r="C75" i="63"/>
  <c r="F75" i="63" s="1"/>
  <c r="I107" i="63" s="1"/>
  <c r="F67" i="63"/>
  <c r="D94" i="56"/>
  <c r="D99" i="56" s="1"/>
  <c r="D98" i="56"/>
  <c r="D100" i="56" s="1"/>
  <c r="J15" i="57"/>
  <c r="D93" i="57"/>
  <c r="F98" i="49"/>
  <c r="C100" i="49"/>
  <c r="D98" i="58"/>
  <c r="D94" i="58"/>
  <c r="D99" i="58" s="1"/>
  <c r="C99" i="53"/>
  <c r="F99" i="53" s="1"/>
  <c r="F94" i="53"/>
  <c r="F95" i="53" s="1"/>
  <c r="E94" i="58"/>
  <c r="E98" i="58"/>
  <c r="E100" i="58" s="1"/>
  <c r="E95" i="58"/>
  <c r="C95" i="53"/>
  <c r="U61" i="63"/>
  <c r="F94" i="56"/>
  <c r="F95" i="56" s="1"/>
  <c r="C99" i="56"/>
  <c r="C74" i="63"/>
  <c r="F74" i="63" s="1"/>
  <c r="I106" i="63" s="1"/>
  <c r="F66" i="63"/>
  <c r="F95" i="49"/>
  <c r="C94" i="58"/>
  <c r="C95" i="58"/>
  <c r="F93" i="58"/>
  <c r="C98" i="58"/>
  <c r="I84" i="47"/>
  <c r="F99" i="49" l="1"/>
  <c r="F100" i="49" s="1"/>
  <c r="H22" i="49" s="1"/>
  <c r="C100" i="53"/>
  <c r="F98" i="56"/>
  <c r="F70" i="63"/>
  <c r="D95" i="56"/>
  <c r="F99" i="56"/>
  <c r="D100" i="58"/>
  <c r="E100" i="55"/>
  <c r="F98" i="55"/>
  <c r="F100" i="55" s="1"/>
  <c r="H22" i="55" s="1"/>
  <c r="H23" i="55" s="1"/>
  <c r="D99" i="49"/>
  <c r="D100" i="49" s="1"/>
  <c r="D95" i="49"/>
  <c r="F98" i="58"/>
  <c r="D98" i="57"/>
  <c r="D94" i="57"/>
  <c r="D99" i="57" s="1"/>
  <c r="F98" i="57"/>
  <c r="F100" i="53"/>
  <c r="H22" i="53" s="1"/>
  <c r="H23" i="53" s="1"/>
  <c r="F93" i="57"/>
  <c r="C78" i="63"/>
  <c r="F73" i="63"/>
  <c r="C99" i="57"/>
  <c r="C99" i="58"/>
  <c r="F99" i="58" s="1"/>
  <c r="F94" i="58"/>
  <c r="F95" i="58" s="1"/>
  <c r="D95" i="58"/>
  <c r="C95" i="57"/>
  <c r="K49" i="47"/>
  <c r="H23" i="49" l="1"/>
  <c r="H28" i="49" s="1"/>
  <c r="F7" i="52"/>
  <c r="F100" i="56"/>
  <c r="H22" i="56" s="1"/>
  <c r="H23" i="56" s="1"/>
  <c r="F99" i="57"/>
  <c r="C3" i="54"/>
  <c r="E3" i="54" s="1"/>
  <c r="H28" i="55"/>
  <c r="D95" i="57"/>
  <c r="C100" i="58"/>
  <c r="F100" i="57"/>
  <c r="H22" i="57" s="1"/>
  <c r="H23" i="57" s="1"/>
  <c r="F78" i="63"/>
  <c r="I105" i="63"/>
  <c r="I110" i="63" s="1"/>
  <c r="C100" i="57"/>
  <c r="C12" i="54"/>
  <c r="E12" i="54" s="1"/>
  <c r="H28" i="53"/>
  <c r="D100" i="57"/>
  <c r="F94" i="57"/>
  <c r="F95" i="57" s="1"/>
  <c r="F100" i="58"/>
  <c r="H22" i="58" s="1"/>
  <c r="H23" i="58" s="1"/>
  <c r="M49" i="47"/>
  <c r="K29" i="47"/>
  <c r="M29" i="47" s="1"/>
  <c r="K31" i="47"/>
  <c r="M31" i="47" s="1"/>
  <c r="C10" i="54" l="1"/>
  <c r="E10" i="54" s="1"/>
  <c r="H28" i="56"/>
  <c r="H28" i="57"/>
  <c r="C11" i="54"/>
  <c r="H28" i="58"/>
  <c r="C13" i="54"/>
  <c r="E13" i="54" s="1"/>
  <c r="J12" i="63"/>
  <c r="J15" i="63" s="1"/>
  <c r="J21" i="63" s="1"/>
  <c r="H12" i="63"/>
  <c r="H15" i="63" s="1"/>
  <c r="H21" i="63" s="1"/>
  <c r="Z31" i="47"/>
  <c r="V31" i="47"/>
  <c r="AN31" i="47" s="1"/>
  <c r="Z29" i="47"/>
  <c r="V29" i="47"/>
  <c r="V49" i="47"/>
  <c r="Z49" i="47"/>
  <c r="I111" i="63" l="1"/>
  <c r="E11" i="54"/>
  <c r="E14" i="54" s="1"/>
  <c r="E18" i="54" s="1"/>
  <c r="C14" i="54"/>
  <c r="C18" i="54" s="1"/>
  <c r="AB31" i="47"/>
  <c r="AA31" i="47"/>
  <c r="AB29" i="47"/>
  <c r="AA29" i="47"/>
  <c r="AA49" i="47"/>
  <c r="AL49" i="47"/>
  <c r="AB67" i="47" l="1"/>
  <c r="K46" i="47"/>
  <c r="M46" i="47" l="1"/>
  <c r="K61" i="47"/>
  <c r="K68" i="47" s="1"/>
  <c r="K80" i="47" l="1"/>
  <c r="G31" i="62"/>
  <c r="K77" i="47"/>
  <c r="V46" i="47"/>
  <c r="V61" i="47" s="1"/>
  <c r="Z46" i="47"/>
  <c r="AN46" i="47"/>
  <c r="AN68" i="47" s="1"/>
  <c r="M61" i="47"/>
  <c r="AA46" i="47" l="1"/>
  <c r="Z61" i="47"/>
  <c r="V68" i="47"/>
  <c r="W68" i="47" s="1"/>
  <c r="AL67" i="47"/>
  <c r="W61" i="47"/>
  <c r="G36" i="62"/>
  <c r="I31" i="62"/>
  <c r="M68" i="47"/>
  <c r="M71" i="47" s="1"/>
  <c r="N61" i="47"/>
  <c r="K83" i="47"/>
  <c r="M80" i="47"/>
  <c r="K70" i="47"/>
  <c r="M56" i="68" l="1"/>
  <c r="L8" i="67"/>
  <c r="L9" i="67" s="1"/>
  <c r="E69" i="47"/>
  <c r="AG12" i="47"/>
  <c r="AG13" i="47" s="1"/>
  <c r="AG21" i="47" s="1"/>
  <c r="AG24" i="47" s="1"/>
  <c r="C69" i="47"/>
  <c r="AR64" i="46"/>
  <c r="I69" i="47"/>
  <c r="M69" i="47"/>
  <c r="F69" i="47"/>
  <c r="D2" i="64"/>
  <c r="H69" i="47"/>
  <c r="M70" i="47"/>
  <c r="G69" i="47"/>
  <c r="AM18" i="47"/>
  <c r="D69" i="47"/>
  <c r="L69" i="47"/>
  <c r="M77" i="47"/>
  <c r="AN69" i="47"/>
  <c r="J69" i="47"/>
  <c r="F2" i="64"/>
  <c r="F30" i="64" s="1"/>
  <c r="F34" i="64" s="1"/>
  <c r="K69" i="47"/>
  <c r="J31" i="62"/>
  <c r="J36" i="62" s="1"/>
  <c r="I36" i="62"/>
  <c r="Z68" i="47"/>
  <c r="AA61" i="47"/>
  <c r="M83" i="47"/>
  <c r="M84" i="47" s="1"/>
  <c r="K84" i="47"/>
  <c r="N68" i="47"/>
  <c r="AC61" i="47"/>
  <c r="M78" i="47" l="1"/>
  <c r="N77" i="47"/>
  <c r="E2" i="64"/>
  <c r="E30" i="64" s="1"/>
  <c r="E34" i="64" s="1"/>
  <c r="D30" i="64"/>
  <c r="D34" i="64" s="1"/>
  <c r="N69" i="47"/>
  <c r="N70" i="47" s="1"/>
</calcChain>
</file>

<file path=xl/comments1.xml><?xml version="1.0" encoding="utf-8"?>
<comments xmlns="http://schemas.openxmlformats.org/spreadsheetml/2006/main">
  <authors>
    <author>Information technology</author>
  </authors>
  <commentList>
    <comment ref="AH13" authorId="0" shapeId="0">
      <text>
        <r>
          <rPr>
            <b/>
            <sz val="9"/>
            <color indexed="81"/>
            <rFont val="Tahoma"/>
            <family val="2"/>
          </rPr>
          <t>Information technology:</t>
        </r>
        <r>
          <rPr>
            <sz val="9"/>
            <color indexed="81"/>
            <rFont val="Tahoma"/>
            <family val="2"/>
          </rPr>
          <t xml:space="preserve">
Vacant
</t>
        </r>
      </text>
    </comment>
  </commentList>
</comments>
</file>

<file path=xl/comments2.xml><?xml version="1.0" encoding="utf-8"?>
<comments xmlns="http://schemas.openxmlformats.org/spreadsheetml/2006/main">
  <authors>
    <author>Roselle</author>
  </authors>
  <commentList>
    <comment ref="CO38" authorId="0" shapeId="0">
      <text>
        <r>
          <rPr>
            <b/>
            <sz val="9"/>
            <color indexed="81"/>
            <rFont val="Tahoma"/>
            <family val="2"/>
          </rPr>
          <t>Roselle: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<sst xmlns="http://schemas.openxmlformats.org/spreadsheetml/2006/main" count="1950" uniqueCount="295">
  <si>
    <t>College of Micronesia - FSM</t>
  </si>
  <si>
    <t>Business</t>
  </si>
  <si>
    <t>Counselling</t>
  </si>
  <si>
    <t>SS</t>
  </si>
  <si>
    <t>Health</t>
  </si>
  <si>
    <t>Group Life</t>
  </si>
  <si>
    <t>Retirement</t>
  </si>
  <si>
    <t>Housing</t>
  </si>
  <si>
    <t>Supplies</t>
  </si>
  <si>
    <t>Printing</t>
  </si>
  <si>
    <t>Communication</t>
  </si>
  <si>
    <t>Advertisement</t>
  </si>
  <si>
    <t>Postage</t>
  </si>
  <si>
    <t>Site visits</t>
  </si>
  <si>
    <t>Utilities</t>
  </si>
  <si>
    <t>Fuel</t>
  </si>
  <si>
    <t>Insurance</t>
  </si>
  <si>
    <t>Computer</t>
  </si>
  <si>
    <t>Furnitures</t>
  </si>
  <si>
    <t>IRPO</t>
  </si>
  <si>
    <t>HRO</t>
  </si>
  <si>
    <t>Student travel</t>
  </si>
  <si>
    <t>Travel</t>
  </si>
  <si>
    <t>Graduation cost</t>
  </si>
  <si>
    <t>Meeting and field trips</t>
  </si>
  <si>
    <t>Student Activities</t>
  </si>
  <si>
    <t>Staff Development</t>
  </si>
  <si>
    <t>Membership</t>
  </si>
  <si>
    <t>VPAS</t>
  </si>
  <si>
    <t>VPIA</t>
  </si>
  <si>
    <t>Education</t>
  </si>
  <si>
    <t>Maitenance</t>
  </si>
  <si>
    <t>Bus.Office</t>
  </si>
  <si>
    <t>Recruitment</t>
  </si>
  <si>
    <t>Accreditation</t>
  </si>
  <si>
    <t>Strategic planning</t>
  </si>
  <si>
    <t>Reference, library books</t>
  </si>
  <si>
    <t>Sub-total</t>
  </si>
  <si>
    <t>Social Sci.</t>
  </si>
  <si>
    <t>Math &amp; Sci.</t>
  </si>
  <si>
    <t>Lang Lit</t>
  </si>
  <si>
    <t>LRC</t>
  </si>
  <si>
    <t>IT</t>
  </si>
  <si>
    <t>OARR</t>
  </si>
  <si>
    <t>FAO</t>
  </si>
  <si>
    <t>Grand Total</t>
  </si>
  <si>
    <t>Consolidation of Expenditure Budget Per Department</t>
  </si>
  <si>
    <t>OP</t>
  </si>
  <si>
    <t>Pohnpei</t>
  </si>
  <si>
    <t>Chuuk</t>
  </si>
  <si>
    <t>Kosrae</t>
  </si>
  <si>
    <t>Yap</t>
  </si>
  <si>
    <t>Support to VPCRE</t>
  </si>
  <si>
    <t>VPIEQA</t>
  </si>
  <si>
    <t>IEQA</t>
  </si>
  <si>
    <t>INSTRUCTION</t>
  </si>
  <si>
    <t>ADMINISTRATION</t>
  </si>
  <si>
    <t>STUDENT SERVICES</t>
  </si>
  <si>
    <t>Salaries, filled positions</t>
  </si>
  <si>
    <t>Salaries, step increases</t>
  </si>
  <si>
    <t>Salaries, vacant</t>
  </si>
  <si>
    <t>Salaries, new positions</t>
  </si>
  <si>
    <t>CAMPUSES</t>
  </si>
  <si>
    <t>Miscellaneous/Others</t>
  </si>
  <si>
    <t>Contingency fund</t>
  </si>
  <si>
    <t>Learning community fund</t>
  </si>
  <si>
    <t>Institutional advancement</t>
  </si>
  <si>
    <t>Partime/Summer faculty</t>
  </si>
  <si>
    <t>Tutoring</t>
  </si>
  <si>
    <t>Repairs and maintenance</t>
  </si>
  <si>
    <t>Student recruitment</t>
  </si>
  <si>
    <t>Testing materials</t>
  </si>
  <si>
    <t>General services</t>
  </si>
  <si>
    <t>Audit, legal, prof , consultants</t>
  </si>
  <si>
    <t>Health Sci</t>
  </si>
  <si>
    <t>Machineries, tools, equip</t>
  </si>
  <si>
    <t>Sports</t>
  </si>
  <si>
    <t>Res. Hall</t>
  </si>
  <si>
    <t>Student Services</t>
  </si>
  <si>
    <t>Total</t>
  </si>
  <si>
    <t>Instructions</t>
  </si>
  <si>
    <t>Admin</t>
  </si>
  <si>
    <t>Fiscal year 2017</t>
  </si>
  <si>
    <t>Vehicles &amp; other land transportation</t>
  </si>
  <si>
    <t>VPEMSS</t>
  </si>
  <si>
    <t>Student Life</t>
  </si>
  <si>
    <t>Overload / Special Contracts</t>
  </si>
  <si>
    <t>Overload / special contract</t>
  </si>
  <si>
    <t>Development &amp; Improvement</t>
  </si>
  <si>
    <t>Land and office/Classroom Rental</t>
  </si>
  <si>
    <t>2015-2017</t>
  </si>
  <si>
    <t>Inc (Dec)  2015</t>
  </si>
  <si>
    <t>Inc (Dec)  2016</t>
  </si>
  <si>
    <t>2015 Budget</t>
  </si>
  <si>
    <t>2015 Actual</t>
  </si>
  <si>
    <t>Difference</t>
  </si>
  <si>
    <t>FY 2017 Revenue Budget</t>
  </si>
  <si>
    <t>Revised Projection II:</t>
  </si>
  <si>
    <t>Assumptions:</t>
  </si>
  <si>
    <t>1.  Number of students based on FY 2015 Actual Enrolment Headcount  plus 1% increase</t>
  </si>
  <si>
    <t>2.  Credits calclulated based on FY 2015 average credit plus 10% increase</t>
  </si>
  <si>
    <t>3.  Tuition fee at $135 per credit</t>
  </si>
  <si>
    <t>4.  Facility fee  calculated based FY 2015 actual Percentage of Full Time and Part Time Students plus 20% increase in Full Time Students</t>
  </si>
  <si>
    <t>2015 Actual Data</t>
  </si>
  <si>
    <t>2015 Actual Data Percentage</t>
  </si>
  <si>
    <t>With 20% Increase</t>
  </si>
  <si>
    <t>Fall</t>
  </si>
  <si>
    <t>Spring</t>
  </si>
  <si>
    <t>Summer</t>
  </si>
  <si>
    <t xml:space="preserve">Full Time </t>
  </si>
  <si>
    <t>Part Time</t>
  </si>
  <si>
    <t>Revision No. 1</t>
  </si>
  <si>
    <t>Tuition</t>
  </si>
  <si>
    <t>Registration/Health/Student Activity</t>
  </si>
  <si>
    <t>Facility fee</t>
  </si>
  <si>
    <t>FSM-ESG</t>
  </si>
  <si>
    <t>FSM-Gen Fund</t>
  </si>
  <si>
    <t>Total 2017</t>
  </si>
  <si>
    <t>Number of Students (Based on actual 2015)</t>
  </si>
  <si>
    <t>Actual Data</t>
  </si>
  <si>
    <t>Campus</t>
  </si>
  <si>
    <t>Fall 14</t>
  </si>
  <si>
    <t>Spring 15</t>
  </si>
  <si>
    <t>Summer 15</t>
  </si>
  <si>
    <t>National</t>
  </si>
  <si>
    <t>Average Credit Per FY 2015</t>
  </si>
  <si>
    <t>Average</t>
  </si>
  <si>
    <t>Number of Credits (Based on Average Credit Per FY 2015)</t>
  </si>
  <si>
    <t>Fall 15</t>
  </si>
  <si>
    <t>Spring 16</t>
  </si>
  <si>
    <t>Summer 16</t>
  </si>
  <si>
    <t>Tuition (Based at $135 per credit)</t>
  </si>
  <si>
    <t>Tuition at $135 per credit, gross</t>
  </si>
  <si>
    <t>Tuition, net of 7.5% D/A and Tuition Remission</t>
  </si>
  <si>
    <t>Student/Health/Registration</t>
  </si>
  <si>
    <t>Facility Fee</t>
  </si>
  <si>
    <t>Regular Sem</t>
  </si>
  <si>
    <t xml:space="preserve">Summer </t>
  </si>
  <si>
    <t>Full time</t>
  </si>
  <si>
    <t>Part time</t>
  </si>
  <si>
    <t>Head Count</t>
  </si>
  <si>
    <t>Fiscal year 2016</t>
  </si>
  <si>
    <t>Revenue</t>
  </si>
  <si>
    <t>Expenditure</t>
  </si>
  <si>
    <t>Medical supplies</t>
  </si>
  <si>
    <t>Medical Supplies</t>
  </si>
  <si>
    <t>Fund Raising Expenses</t>
  </si>
  <si>
    <t>Audit, legal, prof , consultants, license</t>
  </si>
  <si>
    <t>Over(short)</t>
  </si>
  <si>
    <t>2017 % Increase (Decrease)</t>
  </si>
  <si>
    <t>Adjustment</t>
  </si>
  <si>
    <t xml:space="preserve">Adjusted </t>
  </si>
  <si>
    <t>Plan B</t>
  </si>
  <si>
    <t>Budget</t>
  </si>
  <si>
    <t>2015 Summer Revenue</t>
  </si>
  <si>
    <t>Actual</t>
  </si>
  <si>
    <t>Summer Contracts</t>
  </si>
  <si>
    <t>IAO</t>
  </si>
  <si>
    <t>Audit, legal, prof , consultants, contractual services</t>
  </si>
  <si>
    <t>Residence Hall</t>
  </si>
  <si>
    <t>2016 Budget</t>
  </si>
  <si>
    <t>Projected Revenue</t>
  </si>
  <si>
    <t>Expenses</t>
  </si>
  <si>
    <t>Personnel</t>
  </si>
  <si>
    <t>General/Contractual Services</t>
  </si>
  <si>
    <t>Other Operating/Current Expenses</t>
  </si>
  <si>
    <t>Fixed Assets</t>
  </si>
  <si>
    <t>Increase (Decrease to Fund Balance)</t>
  </si>
  <si>
    <t>Comparative with 2016 Budget</t>
  </si>
  <si>
    <t>2017</t>
  </si>
  <si>
    <t>2016</t>
  </si>
  <si>
    <t>Inc (Dec)</t>
  </si>
  <si>
    <t>% Inc (Dec)</t>
  </si>
  <si>
    <t>Consolidated Budget for 2017 (Plan B)</t>
  </si>
  <si>
    <t>2017 Revenue and Budget by Campus:</t>
  </si>
  <si>
    <t>Balance</t>
  </si>
  <si>
    <t xml:space="preserve">          OP</t>
  </si>
  <si>
    <t xml:space="preserve">          IAO</t>
  </si>
  <si>
    <t xml:space="preserve">          IEQA</t>
  </si>
  <si>
    <t xml:space="preserve">          IA</t>
  </si>
  <si>
    <t xml:space="preserve">          AS</t>
  </si>
  <si>
    <t xml:space="preserve">          EMSS</t>
  </si>
  <si>
    <t>Released Budget</t>
  </si>
  <si>
    <t>CRE</t>
  </si>
  <si>
    <t>SocSci</t>
  </si>
  <si>
    <t>Math</t>
  </si>
  <si>
    <t>English</t>
  </si>
  <si>
    <t>Public Heath</t>
  </si>
  <si>
    <t>OAR</t>
  </si>
  <si>
    <t>Recreation</t>
  </si>
  <si>
    <t>RH</t>
  </si>
  <si>
    <t>BO</t>
  </si>
  <si>
    <t>Maintenance</t>
  </si>
  <si>
    <t xml:space="preserve">Consolidated Budget </t>
  </si>
  <si>
    <t>2016 Actual</t>
  </si>
  <si>
    <t>2017 Budget</t>
  </si>
  <si>
    <t>25th Anniversary Celebration</t>
  </si>
  <si>
    <t>License &amp; Other fees</t>
  </si>
  <si>
    <t>Recovery of IC</t>
  </si>
  <si>
    <t>Number of Students (3yrs average)</t>
  </si>
  <si>
    <t>Full Time  Percentage</t>
  </si>
  <si>
    <t>Part Time  Percentage</t>
  </si>
  <si>
    <t xml:space="preserve">Fall </t>
  </si>
  <si>
    <t xml:space="preserve">Spring </t>
  </si>
  <si>
    <t>Number of Credits (Full Time)</t>
  </si>
  <si>
    <t>Number of Credits (Part time)</t>
  </si>
  <si>
    <t>Total Credits</t>
  </si>
  <si>
    <t>Full Time</t>
  </si>
  <si>
    <t>part time</t>
  </si>
  <si>
    <t>Convocation</t>
  </si>
  <si>
    <t>Projected</t>
  </si>
  <si>
    <t>FALL</t>
  </si>
  <si>
    <t>TUITION</t>
  </si>
  <si>
    <t>SF/HEALTH/REG</t>
  </si>
  <si>
    <t>FACILITY FEE</t>
  </si>
  <si>
    <t>TOTAL</t>
  </si>
  <si>
    <t>SPRING</t>
  </si>
  <si>
    <t>SUMMER</t>
  </si>
  <si>
    <t>New Position</t>
  </si>
  <si>
    <t>FSM Subsidy</t>
  </si>
  <si>
    <t>Vacant</t>
  </si>
  <si>
    <t>Check with Hr</t>
  </si>
  <si>
    <t>YAP(Lourdes)</t>
  </si>
  <si>
    <t>IT(Internet)</t>
  </si>
  <si>
    <t>Special Contract/overload</t>
  </si>
  <si>
    <t>General/Contracted Services</t>
  </si>
  <si>
    <t>2018 Budget</t>
  </si>
  <si>
    <t>Support to CRE</t>
  </si>
  <si>
    <t>Increase(decrease)</t>
  </si>
  <si>
    <t>Revenue Projection YR2-2019</t>
  </si>
  <si>
    <t>1.  Number of students based on 3-years average</t>
  </si>
  <si>
    <t>2.  Credits based on full-time equivalent</t>
  </si>
  <si>
    <t>4.  Facility fee  calculated based 3-years actual Percentage of Full Time and Part Time Students</t>
  </si>
  <si>
    <t>Dormitory</t>
  </si>
  <si>
    <t xml:space="preserve">Total </t>
  </si>
  <si>
    <t>Average Credit Per  (Full time)</t>
  </si>
  <si>
    <t>Average Credit  (Part time)</t>
  </si>
  <si>
    <t>CTEC</t>
  </si>
  <si>
    <t>2020 Budget</t>
  </si>
  <si>
    <t>Budget Balance</t>
  </si>
  <si>
    <t xml:space="preserve">Computer </t>
  </si>
  <si>
    <t>Vehicles</t>
  </si>
  <si>
    <t>Repairs &amp; Maintenance</t>
  </si>
  <si>
    <t xml:space="preserve">Vacant &amp; New position </t>
  </si>
  <si>
    <t>Contracrted Services</t>
  </si>
  <si>
    <t>License</t>
  </si>
  <si>
    <t>Target Revenue</t>
  </si>
  <si>
    <t>Misc</t>
  </si>
  <si>
    <t>Budget Deficit</t>
  </si>
  <si>
    <t>Site Visit</t>
  </si>
  <si>
    <t>Machineries</t>
  </si>
  <si>
    <t>Misc.</t>
  </si>
  <si>
    <t>2021 Budget</t>
  </si>
  <si>
    <t>Contingency</t>
  </si>
  <si>
    <t xml:space="preserve">4% Salary Increase </t>
  </si>
  <si>
    <t xml:space="preserve">3% Salary Increase </t>
  </si>
  <si>
    <t>Fiscal year 2022</t>
  </si>
  <si>
    <t>Reference &amp; Training Materials</t>
  </si>
  <si>
    <t>Support to CFE</t>
  </si>
  <si>
    <t>FY 2022 Revenue Projection</t>
  </si>
  <si>
    <t>1.  Based on 6-year average actual enrollment in headcounts &amp; credits</t>
  </si>
  <si>
    <t xml:space="preserve">Number of Students </t>
  </si>
  <si>
    <t xml:space="preserve">Average Credit </t>
  </si>
  <si>
    <t>Number of Credits (Based on Average)</t>
  </si>
  <si>
    <t>Bookstore</t>
  </si>
  <si>
    <t>Dining Hall</t>
  </si>
  <si>
    <t>Adjustments</t>
  </si>
  <si>
    <t>Total Before Adjustments</t>
  </si>
  <si>
    <t>Student Activites</t>
  </si>
  <si>
    <t>Learning Community</t>
  </si>
  <si>
    <t>Travel-OP</t>
  </si>
  <si>
    <t>Travel-IAO</t>
  </si>
  <si>
    <t>Contractual services-IAO</t>
  </si>
  <si>
    <t>OS-IAO</t>
  </si>
  <si>
    <t>Maintenance Vacant Position</t>
  </si>
  <si>
    <t>Repair and Maintenance</t>
  </si>
  <si>
    <t>Math &amp; Science Vacant Position</t>
  </si>
  <si>
    <t>Chuuk Adjustment(English Faculty &amp; IC rate)</t>
  </si>
  <si>
    <t>Custudian</t>
  </si>
  <si>
    <t>Overload</t>
  </si>
  <si>
    <t>Vacant Positions</t>
  </si>
  <si>
    <t>Computer/ICT Equipment</t>
  </si>
  <si>
    <t>computer</t>
  </si>
  <si>
    <t>Sports &amp; Rec.</t>
  </si>
  <si>
    <t>CTEC -Student Services</t>
  </si>
  <si>
    <t>OP Travel</t>
  </si>
  <si>
    <t>Strategic Planning</t>
  </si>
  <si>
    <t>OIE supplies</t>
  </si>
  <si>
    <t>Contractual services-VPIEQA</t>
  </si>
  <si>
    <t>Printing-VPIEQA</t>
  </si>
  <si>
    <t>VPAS-Supplies</t>
  </si>
  <si>
    <t>VPAS-others</t>
  </si>
  <si>
    <t>VPAS-Vehicle</t>
  </si>
  <si>
    <t>VPIA-Supplies</t>
  </si>
  <si>
    <t>Special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</si>
</sst>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_);_(&quot;$&quot;* \(#,##0\);_(&quot;$&quot;* &quot;-&quot;??_);_(@_)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u/>
      <sz val="10"/>
      <color rgb="FF00660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rgb="FF006600"/>
      <name val="Arial"/>
      <family val="2"/>
    </font>
    <font>
      <b/>
      <u/>
      <sz val="9"/>
      <name val="Arial"/>
      <family val="2"/>
    </font>
    <font>
      <sz val="11"/>
      <name val="Calibri"/>
      <family val="2"/>
      <scheme val="minor"/>
    </font>
    <font>
      <b/>
      <sz val="11"/>
      <color rgb="FF006600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u val="singleAccounting"/>
      <sz val="10"/>
      <name val="Arial"/>
      <family val="2"/>
    </font>
    <font>
      <sz val="11"/>
      <color theme="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u val="singleAccounting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43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8">
    <xf numFmtId="0" fontId="0" fillId="0" borderId="0" xfId="0"/>
    <xf numFmtId="0" fontId="9" fillId="0" borderId="0" xfId="0" applyFont="1" applyFill="1"/>
    <xf numFmtId="0" fontId="0" fillId="0" borderId="0" xfId="0" applyFill="1"/>
    <xf numFmtId="0" fontId="10" fillId="0" borderId="0" xfId="0" applyFont="1" applyFill="1" applyAlignment="1"/>
    <xf numFmtId="0" fontId="9" fillId="0" borderId="0" xfId="0" applyFont="1" applyFill="1" applyAlignment="1"/>
    <xf numFmtId="0" fontId="11" fillId="0" borderId="0" xfId="0" applyFont="1" applyFill="1"/>
    <xf numFmtId="0" fontId="12" fillId="0" borderId="0" xfId="0" applyFont="1" applyFill="1" applyAlignment="1"/>
    <xf numFmtId="0" fontId="11" fillId="0" borderId="0" xfId="0" applyFont="1" applyFill="1" applyAlignment="1">
      <alignment horizontal="center"/>
    </xf>
    <xf numFmtId="0" fontId="15" fillId="0" borderId="0" xfId="0" applyFont="1" applyFill="1"/>
    <xf numFmtId="164" fontId="14" fillId="0" borderId="0" xfId="1" applyNumberFormat="1" applyFont="1" applyFill="1"/>
    <xf numFmtId="164" fontId="14" fillId="0" borderId="2" xfId="1" applyNumberFormat="1" applyFont="1" applyFill="1" applyBorder="1"/>
    <xf numFmtId="164" fontId="0" fillId="0" borderId="0" xfId="1" applyNumberFormat="1" applyFont="1" applyFill="1"/>
    <xf numFmtId="164" fontId="15" fillId="0" borderId="4" xfId="1" applyNumberFormat="1" applyFont="1" applyFill="1" applyBorder="1"/>
    <xf numFmtId="164" fontId="0" fillId="0" borderId="0" xfId="0" applyNumberFormat="1" applyFill="1"/>
    <xf numFmtId="10" fontId="0" fillId="0" borderId="0" xfId="0" applyNumberFormat="1" applyFill="1"/>
    <xf numFmtId="0" fontId="9" fillId="0" borderId="1" xfId="0" applyFont="1" applyFill="1" applyBorder="1" applyAlignment="1">
      <alignment horizontal="center"/>
    </xf>
    <xf numFmtId="0" fontId="0" fillId="0" borderId="0" xfId="0" applyFill="1" applyBorder="1"/>
    <xf numFmtId="164" fontId="15" fillId="0" borderId="3" xfId="0" applyNumberFormat="1" applyFont="1" applyFill="1" applyBorder="1"/>
    <xf numFmtId="10" fontId="15" fillId="0" borderId="6" xfId="0" applyNumberFormat="1" applyFont="1" applyFill="1" applyBorder="1"/>
    <xf numFmtId="0" fontId="13" fillId="0" borderId="0" xfId="0" applyFont="1" applyFill="1"/>
    <xf numFmtId="0" fontId="15" fillId="0" borderId="0" xfId="0" applyFont="1"/>
    <xf numFmtId="9" fontId="0" fillId="0" borderId="0" xfId="2" applyFont="1" applyFill="1"/>
    <xf numFmtId="164" fontId="14" fillId="0" borderId="9" xfId="1" applyNumberFormat="1" applyFont="1" applyFill="1" applyBorder="1"/>
    <xf numFmtId="164" fontId="14" fillId="0" borderId="0" xfId="1" applyNumberFormat="1" applyFont="1" applyFill="1" applyBorder="1"/>
    <xf numFmtId="164" fontId="14" fillId="0" borderId="10" xfId="1" applyNumberFormat="1" applyFont="1" applyFill="1" applyBorder="1"/>
    <xf numFmtId="164" fontId="14" fillId="0" borderId="8" xfId="1" applyNumberFormat="1" applyFont="1" applyFill="1" applyBorder="1"/>
    <xf numFmtId="164" fontId="0" fillId="0" borderId="9" xfId="1" applyNumberFormat="1" applyFont="1" applyFill="1" applyBorder="1"/>
    <xf numFmtId="164" fontId="0" fillId="0" borderId="0" xfId="1" applyNumberFormat="1" applyFont="1" applyFill="1" applyBorder="1"/>
    <xf numFmtId="164" fontId="0" fillId="0" borderId="10" xfId="1" applyNumberFormat="1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0" xfId="0" applyFont="1" applyFill="1" applyBorder="1" applyAlignment="1"/>
    <xf numFmtId="0" fontId="11" fillId="0" borderId="11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/>
    <xf numFmtId="164" fontId="15" fillId="0" borderId="2" xfId="0" applyNumberFormat="1" applyFont="1" applyFill="1" applyBorder="1"/>
    <xf numFmtId="164" fontId="15" fillId="0" borderId="8" xfId="0" applyNumberFormat="1" applyFont="1" applyFill="1" applyBorder="1"/>
    <xf numFmtId="0" fontId="9" fillId="0" borderId="0" xfId="3" applyFont="1"/>
    <xf numFmtId="0" fontId="7" fillId="0" borderId="0" xfId="4"/>
    <xf numFmtId="0" fontId="8" fillId="0" borderId="0" xfId="3"/>
    <xf numFmtId="0" fontId="8" fillId="0" borderId="0" xfId="3" applyFont="1"/>
    <xf numFmtId="0" fontId="19" fillId="0" borderId="0" xfId="3" applyFont="1"/>
    <xf numFmtId="0" fontId="7" fillId="0" borderId="15" xfId="4" applyBorder="1" applyAlignment="1">
      <alignment horizontal="center"/>
    </xf>
    <xf numFmtId="0" fontId="7" fillId="0" borderId="16" xfId="4" applyBorder="1"/>
    <xf numFmtId="0" fontId="7" fillId="0" borderId="0" xfId="4" applyBorder="1"/>
    <xf numFmtId="0" fontId="7" fillId="0" borderId="17" xfId="4" applyBorder="1"/>
    <xf numFmtId="9" fontId="0" fillId="0" borderId="16" xfId="5" applyFont="1" applyBorder="1"/>
    <xf numFmtId="9" fontId="0" fillId="0" borderId="0" xfId="5" applyFont="1" applyBorder="1"/>
    <xf numFmtId="9" fontId="0" fillId="0" borderId="17" xfId="5" applyFont="1" applyBorder="1"/>
    <xf numFmtId="164" fontId="15" fillId="0" borderId="18" xfId="6" applyNumberFormat="1" applyFont="1" applyFill="1" applyBorder="1"/>
    <xf numFmtId="164" fontId="15" fillId="0" borderId="19" xfId="6" applyNumberFormat="1" applyFont="1" applyFill="1" applyBorder="1"/>
    <xf numFmtId="164" fontId="15" fillId="0" borderId="20" xfId="6" applyNumberFormat="1" applyFont="1" applyFill="1" applyBorder="1"/>
    <xf numFmtId="9" fontId="15" fillId="0" borderId="18" xfId="5" applyFont="1" applyFill="1" applyBorder="1"/>
    <xf numFmtId="9" fontId="15" fillId="0" borderId="19" xfId="5" applyFont="1" applyFill="1" applyBorder="1"/>
    <xf numFmtId="9" fontId="15" fillId="0" borderId="20" xfId="5" applyFont="1" applyFill="1" applyBorder="1"/>
    <xf numFmtId="0" fontId="20" fillId="0" borderId="0" xfId="3" applyFont="1"/>
    <xf numFmtId="164" fontId="8" fillId="0" borderId="0" xfId="7" applyNumberFormat="1" applyFont="1"/>
    <xf numFmtId="0" fontId="8" fillId="0" borderId="12" xfId="3" applyBorder="1" applyAlignment="1">
      <alignment horizontal="center"/>
    </xf>
    <xf numFmtId="164" fontId="7" fillId="0" borderId="0" xfId="4" applyNumberFormat="1"/>
    <xf numFmtId="164" fontId="9" fillId="0" borderId="3" xfId="3" applyNumberFormat="1" applyFont="1" applyBorder="1"/>
    <xf numFmtId="164" fontId="9" fillId="0" borderId="0" xfId="3" applyNumberFormat="1" applyFont="1" applyBorder="1"/>
    <xf numFmtId="164" fontId="9" fillId="0" borderId="15" xfId="3" applyNumberFormat="1" applyFont="1" applyBorder="1"/>
    <xf numFmtId="164" fontId="14" fillId="0" borderId="0" xfId="6" applyNumberFormat="1" applyFont="1" applyFill="1"/>
    <xf numFmtId="0" fontId="21" fillId="0" borderId="0" xfId="4" applyFont="1"/>
    <xf numFmtId="0" fontId="8" fillId="0" borderId="0" xfId="3" applyBorder="1"/>
    <xf numFmtId="0" fontId="22" fillId="0" borderId="0" xfId="3" applyFont="1" applyFill="1"/>
    <xf numFmtId="0" fontId="22" fillId="0" borderId="0" xfId="3" applyFont="1"/>
    <xf numFmtId="0" fontId="22" fillId="0" borderId="0" xfId="3" applyFont="1" applyBorder="1"/>
    <xf numFmtId="0" fontId="9" fillId="0" borderId="0" xfId="3" applyFont="1" applyAlignment="1">
      <alignment horizontal="center"/>
    </xf>
    <xf numFmtId="0" fontId="11" fillId="0" borderId="21" xfId="3" applyFont="1" applyBorder="1" applyAlignment="1">
      <alignment horizontal="center"/>
    </xf>
    <xf numFmtId="0" fontId="23" fillId="0" borderId="0" xfId="3" applyFont="1" applyFill="1"/>
    <xf numFmtId="0" fontId="14" fillId="0" borderId="0" xfId="3" applyFont="1" applyFill="1"/>
    <xf numFmtId="0" fontId="8" fillId="0" borderId="0" xfId="3" applyFill="1"/>
    <xf numFmtId="0" fontId="24" fillId="0" borderId="0" xfId="4" applyFont="1"/>
    <xf numFmtId="0" fontId="15" fillId="0" borderId="0" xfId="3" applyFont="1" applyFill="1"/>
    <xf numFmtId="164" fontId="15" fillId="0" borderId="2" xfId="6" applyNumberFormat="1" applyFont="1" applyFill="1" applyBorder="1"/>
    <xf numFmtId="165" fontId="14" fillId="0" borderId="0" xfId="6" applyNumberFormat="1" applyFont="1" applyFill="1"/>
    <xf numFmtId="0" fontId="25" fillId="0" borderId="0" xfId="4" applyFont="1"/>
    <xf numFmtId="165" fontId="14" fillId="0" borderId="0" xfId="6" applyNumberFormat="1" applyFont="1" applyFill="1" applyBorder="1"/>
    <xf numFmtId="165" fontId="15" fillId="0" borderId="2" xfId="6" applyNumberFormat="1" applyFont="1" applyFill="1" applyBorder="1"/>
    <xf numFmtId="0" fontId="26" fillId="0" borderId="0" xfId="4" applyFont="1"/>
    <xf numFmtId="164" fontId="15" fillId="0" borderId="0" xfId="6" applyNumberFormat="1" applyFont="1" applyFill="1" applyBorder="1"/>
    <xf numFmtId="0" fontId="7" fillId="0" borderId="21" xfId="4" applyBorder="1"/>
    <xf numFmtId="0" fontId="17" fillId="0" borderId="0" xfId="4" applyFont="1"/>
    <xf numFmtId="0" fontId="7" fillId="0" borderId="0" xfId="4" applyAlignment="1">
      <alignment horizontal="center"/>
    </xf>
    <xf numFmtId="164" fontId="7" fillId="0" borderId="0" xfId="7" applyNumberFormat="1" applyFont="1"/>
    <xf numFmtId="9" fontId="7" fillId="0" borderId="0" xfId="4" applyNumberFormat="1"/>
    <xf numFmtId="0" fontId="14" fillId="0" borderId="0" xfId="3" applyFont="1"/>
    <xf numFmtId="0" fontId="7" fillId="0" borderId="0" xfId="4" applyFont="1"/>
    <xf numFmtId="43" fontId="14" fillId="0" borderId="0" xfId="6" applyNumberFormat="1" applyFont="1" applyFill="1"/>
    <xf numFmtId="0" fontId="9" fillId="0" borderId="0" xfId="3" applyFont="1" applyFill="1"/>
    <xf numFmtId="0" fontId="11" fillId="0" borderId="0" xfId="3" applyFont="1" applyFill="1"/>
    <xf numFmtId="0" fontId="9" fillId="0" borderId="0" xfId="3" applyFont="1" applyFill="1" applyAlignment="1"/>
    <xf numFmtId="0" fontId="12" fillId="0" borderId="0" xfId="3" applyFont="1" applyFill="1" applyAlignment="1"/>
    <xf numFmtId="0" fontId="10" fillId="0" borderId="0" xfId="3" applyFont="1" applyFill="1" applyAlignment="1"/>
    <xf numFmtId="0" fontId="8" fillId="0" borderId="0" xfId="3" applyFill="1" applyBorder="1"/>
    <xf numFmtId="10" fontId="9" fillId="0" borderId="6" xfId="3" applyNumberFormat="1" applyFont="1" applyFill="1" applyBorder="1"/>
    <xf numFmtId="10" fontId="9" fillId="0" borderId="6" xfId="3" applyNumberFormat="1" applyFont="1" applyFill="1" applyBorder="1" applyAlignment="1">
      <alignment horizontal="center"/>
    </xf>
    <xf numFmtId="164" fontId="15" fillId="0" borderId="3" xfId="3" applyNumberFormat="1" applyFont="1" applyFill="1" applyBorder="1"/>
    <xf numFmtId="10" fontId="15" fillId="0" borderId="6" xfId="3" applyNumberFormat="1" applyFont="1" applyFill="1" applyBorder="1"/>
    <xf numFmtId="10" fontId="8" fillId="0" borderId="0" xfId="3" applyNumberFormat="1" applyFill="1"/>
    <xf numFmtId="43" fontId="0" fillId="0" borderId="0" xfId="1" applyFont="1" applyFill="1"/>
    <xf numFmtId="0" fontId="0" fillId="2" borderId="0" xfId="0" applyFill="1"/>
    <xf numFmtId="164" fontId="15" fillId="0" borderId="0" xfId="0" applyNumberFormat="1" applyFont="1" applyFill="1"/>
    <xf numFmtId="0" fontId="8" fillId="2" borderId="0" xfId="3" applyFont="1" applyFill="1"/>
    <xf numFmtId="0" fontId="8" fillId="2" borderId="0" xfId="0" applyFont="1" applyFill="1"/>
    <xf numFmtId="164" fontId="14" fillId="0" borderId="22" xfId="1" applyNumberFormat="1" applyFont="1" applyFill="1" applyBorder="1"/>
    <xf numFmtId="164" fontId="14" fillId="0" borderId="5" xfId="1" applyNumberFormat="1" applyFont="1" applyFill="1" applyBorder="1"/>
    <xf numFmtId="164" fontId="14" fillId="0" borderId="23" xfId="1" applyNumberFormat="1" applyFont="1" applyFill="1" applyBorder="1"/>
    <xf numFmtId="164" fontId="18" fillId="0" borderId="0" xfId="1" applyNumberFormat="1" applyFont="1" applyFill="1"/>
    <xf numFmtId="9" fontId="14" fillId="0" borderId="22" xfId="2" applyFont="1" applyFill="1" applyBorder="1"/>
    <xf numFmtId="9" fontId="14" fillId="0" borderId="7" xfId="2" applyFont="1" applyFill="1" applyBorder="1"/>
    <xf numFmtId="9" fontId="14" fillId="0" borderId="9" xfId="2" applyFont="1" applyFill="1" applyBorder="1"/>
    <xf numFmtId="9" fontId="14" fillId="0" borderId="24" xfId="2" applyFont="1" applyFill="1" applyBorder="1"/>
    <xf numFmtId="9" fontId="14" fillId="0" borderId="23" xfId="2" applyFont="1" applyFill="1" applyBorder="1"/>
    <xf numFmtId="9" fontId="14" fillId="0" borderId="10" xfId="2" applyFont="1" applyFill="1" applyBorder="1"/>
    <xf numFmtId="9" fontId="14" fillId="0" borderId="25" xfId="2" applyFont="1" applyFill="1" applyBorder="1"/>
    <xf numFmtId="9" fontId="14" fillId="0" borderId="8" xfId="2" applyFont="1" applyFill="1" applyBorder="1"/>
    <xf numFmtId="9" fontId="0" fillId="0" borderId="10" xfId="2" applyFont="1" applyFill="1" applyBorder="1"/>
    <xf numFmtId="9" fontId="14" fillId="2" borderId="10" xfId="2" applyFont="1" applyFill="1" applyBorder="1"/>
    <xf numFmtId="9" fontId="14" fillId="2" borderId="23" xfId="2" applyFont="1" applyFill="1" applyBorder="1"/>
    <xf numFmtId="9" fontId="14" fillId="2" borderId="25" xfId="2" applyFont="1" applyFill="1" applyBorder="1"/>
    <xf numFmtId="0" fontId="8" fillId="0" borderId="26" xfId="0" applyFont="1" applyFill="1" applyBorder="1"/>
    <xf numFmtId="0" fontId="11" fillId="0" borderId="27" xfId="0" applyFont="1" applyFill="1" applyBorder="1" applyAlignment="1">
      <alignment horizontal="center" vertical="center" wrapText="1"/>
    </xf>
    <xf numFmtId="164" fontId="14" fillId="0" borderId="26" xfId="1" applyNumberFormat="1" applyFont="1" applyFill="1" applyBorder="1"/>
    <xf numFmtId="164" fontId="14" fillId="0" borderId="11" xfId="1" applyNumberFormat="1" applyFont="1" applyFill="1" applyBorder="1"/>
    <xf numFmtId="164" fontId="14" fillId="0" borderId="27" xfId="1" applyNumberFormat="1" applyFont="1" applyFill="1" applyBorder="1"/>
    <xf numFmtId="43" fontId="0" fillId="0" borderId="11" xfId="1" applyFont="1" applyFill="1" applyBorder="1"/>
    <xf numFmtId="164" fontId="14" fillId="0" borderId="1" xfId="1" applyNumberFormat="1" applyFont="1" applyFill="1" applyBorder="1"/>
    <xf numFmtId="164" fontId="15" fillId="0" borderId="1" xfId="0" applyNumberFormat="1" applyFont="1" applyFill="1" applyBorder="1"/>
    <xf numFmtId="164" fontId="0" fillId="0" borderId="11" xfId="1" applyNumberFormat="1" applyFont="1" applyFill="1" applyBorder="1"/>
    <xf numFmtId="43" fontId="0" fillId="0" borderId="26" xfId="1" applyFont="1" applyFill="1" applyBorder="1"/>
    <xf numFmtId="43" fontId="14" fillId="0" borderId="1" xfId="1" applyFont="1" applyFill="1" applyBorder="1"/>
    <xf numFmtId="43" fontId="15" fillId="0" borderId="1" xfId="1" applyFont="1" applyFill="1" applyBorder="1"/>
    <xf numFmtId="44" fontId="0" fillId="0" borderId="27" xfId="8" applyFont="1" applyFill="1" applyBorder="1"/>
    <xf numFmtId="0" fontId="8" fillId="0" borderId="0" xfId="0" applyFont="1" applyFill="1"/>
    <xf numFmtId="43" fontId="8" fillId="0" borderId="0" xfId="1" applyFont="1" applyFill="1"/>
    <xf numFmtId="43" fontId="0" fillId="0" borderId="0" xfId="1" applyFont="1"/>
    <xf numFmtId="43" fontId="0" fillId="0" borderId="3" xfId="1" applyFont="1" applyBorder="1"/>
    <xf numFmtId="0" fontId="9" fillId="0" borderId="1" xfId="0" applyFont="1" applyFill="1" applyBorder="1" applyAlignment="1">
      <alignment horizontal="center"/>
    </xf>
    <xf numFmtId="164" fontId="14" fillId="0" borderId="21" xfId="1" applyNumberFormat="1" applyFont="1" applyFill="1" applyBorder="1"/>
    <xf numFmtId="164" fontId="0" fillId="2" borderId="0" xfId="1" applyNumberFormat="1" applyFont="1" applyFill="1"/>
    <xf numFmtId="164" fontId="27" fillId="2" borderId="0" xfId="1" applyNumberFormat="1" applyFont="1" applyFill="1"/>
    <xf numFmtId="164" fontId="19" fillId="2" borderId="0" xfId="1" applyNumberFormat="1" applyFont="1" applyFill="1"/>
    <xf numFmtId="0" fontId="11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164" fontId="12" fillId="0" borderId="0" xfId="0" applyNumberFormat="1" applyFont="1" applyFill="1" applyAlignment="1"/>
    <xf numFmtId="0" fontId="10" fillId="0" borderId="0" xfId="0" applyFont="1"/>
    <xf numFmtId="0" fontId="8" fillId="0" borderId="0" xfId="0" applyFont="1"/>
    <xf numFmtId="0" fontId="8" fillId="0" borderId="0" xfId="3" applyFont="1" applyFill="1"/>
    <xf numFmtId="164" fontId="0" fillId="0" borderId="0" xfId="1" applyNumberFormat="1" applyFont="1"/>
    <xf numFmtId="164" fontId="27" fillId="0" borderId="0" xfId="1" applyNumberFormat="1" applyFont="1"/>
    <xf numFmtId="164" fontId="0" fillId="0" borderId="0" xfId="0" applyNumberFormat="1"/>
    <xf numFmtId="0" fontId="14" fillId="0" borderId="0" xfId="0" applyFont="1" applyFill="1"/>
    <xf numFmtId="0" fontId="14" fillId="0" borderId="0" xfId="0" applyFont="1"/>
    <xf numFmtId="0" fontId="10" fillId="0" borderId="0" xfId="3" applyFont="1" applyFill="1"/>
    <xf numFmtId="166" fontId="0" fillId="0" borderId="0" xfId="8" applyNumberFormat="1" applyFont="1"/>
    <xf numFmtId="164" fontId="27" fillId="0" borderId="0" xfId="0" applyNumberFormat="1" applyFont="1"/>
    <xf numFmtId="164" fontId="8" fillId="0" borderId="0" xfId="0" applyNumberFormat="1" applyFont="1"/>
    <xf numFmtId="164" fontId="0" fillId="0" borderId="3" xfId="1" applyNumberFormat="1" applyFont="1" applyBorder="1"/>
    <xf numFmtId="43" fontId="27" fillId="0" borderId="0" xfId="1" quotePrefix="1" applyFont="1" applyAlignment="1">
      <alignment horizontal="center"/>
    </xf>
    <xf numFmtId="164" fontId="30" fillId="0" borderId="0" xfId="1" applyNumberFormat="1" applyFont="1"/>
    <xf numFmtId="9" fontId="0" fillId="0" borderId="0" xfId="2" applyFont="1"/>
    <xf numFmtId="43" fontId="0" fillId="0" borderId="0" xfId="0" applyNumberFormat="1" applyFill="1"/>
    <xf numFmtId="43" fontId="0" fillId="0" borderId="19" xfId="1" applyFont="1" applyBorder="1"/>
    <xf numFmtId="43" fontId="0" fillId="0" borderId="0" xfId="0" applyNumberFormat="1"/>
    <xf numFmtId="43" fontId="0" fillId="2" borderId="0" xfId="1" applyFont="1" applyFill="1"/>
    <xf numFmtId="43" fontId="19" fillId="0" borderId="0" xfId="1" applyFont="1"/>
    <xf numFmtId="43" fontId="19" fillId="2" borderId="0" xfId="1" applyFont="1" applyFill="1"/>
    <xf numFmtId="43" fontId="19" fillId="0" borderId="0" xfId="0" applyNumberFormat="1" applyFont="1"/>
    <xf numFmtId="43" fontId="8" fillId="0" borderId="0" xfId="1" applyFont="1"/>
    <xf numFmtId="0" fontId="8" fillId="0" borderId="5" xfId="3" applyBorder="1"/>
    <xf numFmtId="0" fontId="8" fillId="0" borderId="23" xfId="3" applyBorder="1"/>
    <xf numFmtId="0" fontId="22" fillId="0" borderId="0" xfId="3" applyFont="1" applyFill="1" applyBorder="1"/>
    <xf numFmtId="0" fontId="22" fillId="0" borderId="10" xfId="3" applyFont="1" applyBorder="1"/>
    <xf numFmtId="0" fontId="8" fillId="0" borderId="9" xfId="3" applyBorder="1"/>
    <xf numFmtId="0" fontId="9" fillId="0" borderId="0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1" fillId="0" borderId="25" xfId="3" applyFont="1" applyBorder="1" applyAlignment="1">
      <alignment horizontal="center"/>
    </xf>
    <xf numFmtId="0" fontId="23" fillId="0" borderId="9" xfId="3" applyFont="1" applyFill="1" applyBorder="1"/>
    <xf numFmtId="0" fontId="14" fillId="0" borderId="0" xfId="3" applyFont="1" applyFill="1" applyBorder="1"/>
    <xf numFmtId="164" fontId="14" fillId="0" borderId="0" xfId="6" applyNumberFormat="1" applyFont="1" applyFill="1" applyBorder="1"/>
    <xf numFmtId="0" fontId="23" fillId="0" borderId="0" xfId="3" applyFont="1" applyFill="1" applyBorder="1"/>
    <xf numFmtId="0" fontId="23" fillId="0" borderId="24" xfId="3" applyFont="1" applyFill="1" applyBorder="1"/>
    <xf numFmtId="0" fontId="15" fillId="0" borderId="21" xfId="3" applyFont="1" applyFill="1" applyBorder="1"/>
    <xf numFmtId="0" fontId="23" fillId="0" borderId="21" xfId="3" applyFont="1" applyFill="1" applyBorder="1"/>
    <xf numFmtId="164" fontId="15" fillId="0" borderId="21" xfId="6" applyNumberFormat="1" applyFont="1" applyFill="1" applyBorder="1"/>
    <xf numFmtId="0" fontId="15" fillId="0" borderId="0" xfId="3" applyFont="1" applyFill="1" applyBorder="1"/>
    <xf numFmtId="165" fontId="15" fillId="0" borderId="0" xfId="6" applyNumberFormat="1" applyFont="1" applyFill="1" applyBorder="1"/>
    <xf numFmtId="164" fontId="14" fillId="0" borderId="10" xfId="6" applyNumberFormat="1" applyFont="1" applyFill="1" applyBorder="1"/>
    <xf numFmtId="164" fontId="15" fillId="0" borderId="8" xfId="6" applyNumberFormat="1" applyFont="1" applyFill="1" applyBorder="1"/>
    <xf numFmtId="0" fontId="6" fillId="0" borderId="0" xfId="9"/>
    <xf numFmtId="0" fontId="11" fillId="0" borderId="24" xfId="3" applyFont="1" applyBorder="1" applyAlignment="1">
      <alignment horizontal="center"/>
    </xf>
    <xf numFmtId="164" fontId="14" fillId="0" borderId="9" xfId="6" applyNumberFormat="1" applyFont="1" applyFill="1" applyBorder="1"/>
    <xf numFmtId="164" fontId="15" fillId="0" borderId="7" xfId="6" applyNumberFormat="1" applyFont="1" applyFill="1" applyBorder="1"/>
    <xf numFmtId="43" fontId="6" fillId="0" borderId="0" xfId="9" applyNumberFormat="1"/>
    <xf numFmtId="164" fontId="6" fillId="0" borderId="0" xfId="9" applyNumberFormat="1"/>
    <xf numFmtId="0" fontId="9" fillId="4" borderId="1" xfId="0" applyFont="1" applyFill="1" applyBorder="1"/>
    <xf numFmtId="164" fontId="14" fillId="5" borderId="2" xfId="1" applyNumberFormat="1" applyFont="1" applyFill="1" applyBorder="1"/>
    <xf numFmtId="164" fontId="8" fillId="0" borderId="0" xfId="1" applyNumberFormat="1" applyFont="1" applyFill="1"/>
    <xf numFmtId="43" fontId="0" fillId="0" borderId="3" xfId="1" applyFont="1" applyFill="1" applyBorder="1"/>
    <xf numFmtId="10" fontId="8" fillId="0" borderId="6" xfId="0" applyNumberFormat="1" applyFont="1" applyFill="1" applyBorder="1"/>
    <xf numFmtId="10" fontId="8" fillId="0" borderId="6" xfId="0" applyNumberFormat="1" applyFont="1" applyFill="1" applyBorder="1" applyAlignment="1">
      <alignment horizontal="center"/>
    </xf>
    <xf numFmtId="10" fontId="8" fillId="0" borderId="0" xfId="0" applyNumberFormat="1" applyFont="1" applyFill="1"/>
    <xf numFmtId="164" fontId="8" fillId="0" borderId="0" xfId="0" applyNumberFormat="1" applyFont="1" applyFill="1"/>
    <xf numFmtId="9" fontId="8" fillId="0" borderId="0" xfId="2" applyFont="1" applyFill="1"/>
    <xf numFmtId="164" fontId="8" fillId="0" borderId="0" xfId="2" applyNumberFormat="1" applyFont="1" applyFill="1"/>
    <xf numFmtId="0" fontId="8" fillId="0" borderId="12" xfId="3" applyFill="1" applyBorder="1" applyAlignment="1">
      <alignment horizontal="center"/>
    </xf>
    <xf numFmtId="164" fontId="9" fillId="0" borderId="3" xfId="3" applyNumberFormat="1" applyFont="1" applyFill="1" applyBorder="1"/>
    <xf numFmtId="164" fontId="9" fillId="0" borderId="0" xfId="3" applyNumberFormat="1" applyFont="1" applyFill="1" applyBorder="1"/>
    <xf numFmtId="164" fontId="31" fillId="0" borderId="0" xfId="3" applyNumberFormat="1" applyFont="1" applyFill="1" applyBorder="1"/>
    <xf numFmtId="164" fontId="9" fillId="0" borderId="15" xfId="3" applyNumberFormat="1" applyFont="1" applyFill="1" applyBorder="1"/>
    <xf numFmtId="0" fontId="0" fillId="0" borderId="0" xfId="0" applyFill="1" applyAlignment="1">
      <alignment horizontal="center"/>
    </xf>
    <xf numFmtId="43" fontId="8" fillId="0" borderId="0" xfId="0" applyNumberFormat="1" applyFont="1" applyFill="1"/>
    <xf numFmtId="164" fontId="15" fillId="2" borderId="3" xfId="0" applyNumberFormat="1" applyFont="1" applyFill="1" applyBorder="1"/>
    <xf numFmtId="164" fontId="8" fillId="0" borderId="2" xfId="1" applyNumberFormat="1" applyFont="1" applyFill="1" applyBorder="1"/>
    <xf numFmtId="164" fontId="0" fillId="0" borderId="2" xfId="1" applyNumberFormat="1" applyFont="1" applyFill="1" applyBorder="1"/>
    <xf numFmtId="0" fontId="9" fillId="0" borderId="0" xfId="0" applyFont="1" applyFill="1" applyAlignment="1">
      <alignment horizontal="center"/>
    </xf>
    <xf numFmtId="0" fontId="5" fillId="0" borderId="0" xfId="10"/>
    <xf numFmtId="164" fontId="8" fillId="0" borderId="0" xfId="11" applyNumberFormat="1" applyFont="1"/>
    <xf numFmtId="0" fontId="5" fillId="0" borderId="15" xfId="10" applyFill="1" applyBorder="1" applyAlignment="1">
      <alignment horizontal="center"/>
    </xf>
    <xf numFmtId="164" fontId="8" fillId="0" borderId="0" xfId="11" applyNumberFormat="1" applyFont="1" applyFill="1"/>
    <xf numFmtId="164" fontId="5" fillId="0" borderId="0" xfId="10" applyNumberFormat="1" applyFill="1"/>
    <xf numFmtId="164" fontId="5" fillId="0" borderId="0" xfId="10" applyNumberFormat="1"/>
    <xf numFmtId="0" fontId="21" fillId="0" borderId="22" xfId="10" applyFont="1" applyBorder="1"/>
    <xf numFmtId="0" fontId="5" fillId="0" borderId="5" xfId="10" applyBorder="1"/>
    <xf numFmtId="0" fontId="21" fillId="0" borderId="5" xfId="10" applyFont="1" applyBorder="1"/>
    <xf numFmtId="0" fontId="21" fillId="0" borderId="9" xfId="10" applyFont="1" applyBorder="1"/>
    <xf numFmtId="0" fontId="5" fillId="0" borderId="0" xfId="10" applyBorder="1"/>
    <xf numFmtId="0" fontId="21" fillId="0" borderId="0" xfId="10" applyFont="1" applyBorder="1"/>
    <xf numFmtId="9" fontId="14" fillId="0" borderId="0" xfId="12" applyFont="1" applyFill="1" applyBorder="1"/>
    <xf numFmtId="9" fontId="14" fillId="0" borderId="23" xfId="12" applyFont="1" applyFill="1" applyBorder="1"/>
    <xf numFmtId="9" fontId="14" fillId="0" borderId="10" xfId="12" applyFont="1" applyFill="1" applyBorder="1"/>
    <xf numFmtId="0" fontId="24" fillId="0" borderId="0" xfId="10" applyFont="1" applyBorder="1"/>
    <xf numFmtId="0" fontId="24" fillId="0" borderId="0" xfId="10" applyFont="1"/>
    <xf numFmtId="0" fontId="5" fillId="0" borderId="21" xfId="10" applyBorder="1"/>
    <xf numFmtId="0" fontId="5" fillId="0" borderId="25" xfId="10" applyBorder="1"/>
    <xf numFmtId="0" fontId="5" fillId="0" borderId="23" xfId="10" applyBorder="1"/>
    <xf numFmtId="0" fontId="5" fillId="0" borderId="10" xfId="10" applyBorder="1"/>
    <xf numFmtId="0" fontId="25" fillId="0" borderId="0" xfId="10" applyFont="1" applyBorder="1"/>
    <xf numFmtId="0" fontId="5" fillId="0" borderId="9" xfId="10" applyBorder="1"/>
    <xf numFmtId="0" fontId="5" fillId="0" borderId="24" xfId="10" applyBorder="1"/>
    <xf numFmtId="0" fontId="21" fillId="0" borderId="0" xfId="10" applyFont="1"/>
    <xf numFmtId="0" fontId="26" fillId="0" borderId="0" xfId="10" applyFont="1"/>
    <xf numFmtId="0" fontId="17" fillId="0" borderId="0" xfId="10" applyFont="1"/>
    <xf numFmtId="0" fontId="5" fillId="0" borderId="0" xfId="10" applyAlignment="1">
      <alignment horizontal="center"/>
    </xf>
    <xf numFmtId="164" fontId="5" fillId="0" borderId="0" xfId="11" applyNumberFormat="1" applyFont="1"/>
    <xf numFmtId="9" fontId="5" fillId="0" borderId="0" xfId="10" applyNumberFormat="1"/>
    <xf numFmtId="0" fontId="8" fillId="0" borderId="0" xfId="10" applyFont="1"/>
    <xf numFmtId="43" fontId="14" fillId="0" borderId="0" xfId="11" applyNumberFormat="1" applyFont="1" applyFill="1"/>
    <xf numFmtId="0" fontId="5" fillId="0" borderId="19" xfId="10" applyBorder="1"/>
    <xf numFmtId="164" fontId="5" fillId="0" borderId="19" xfId="10" applyNumberFormat="1" applyBorder="1"/>
    <xf numFmtId="43" fontId="5" fillId="0" borderId="0" xfId="1" applyFont="1"/>
    <xf numFmtId="164" fontId="24" fillId="0" borderId="0" xfId="10" applyNumberFormat="1" applyFont="1"/>
    <xf numFmtId="10" fontId="8" fillId="0" borderId="6" xfId="2" applyNumberFormat="1" applyFont="1" applyFill="1" applyBorder="1"/>
    <xf numFmtId="10" fontId="8" fillId="0" borderId="6" xfId="2" applyNumberFormat="1" applyFont="1" applyFill="1" applyBorder="1" applyAlignment="1">
      <alignment horizontal="center"/>
    </xf>
    <xf numFmtId="164" fontId="14" fillId="0" borderId="0" xfId="0" applyNumberFormat="1" applyFont="1" applyFill="1" applyBorder="1"/>
    <xf numFmtId="9" fontId="0" fillId="0" borderId="2" xfId="2" applyFont="1" applyFill="1" applyBorder="1"/>
    <xf numFmtId="43" fontId="8" fillId="2" borderId="0" xfId="1" applyFont="1" applyFill="1"/>
    <xf numFmtId="0" fontId="4" fillId="0" borderId="0" xfId="13"/>
    <xf numFmtId="0" fontId="33" fillId="0" borderId="0" xfId="13" applyFont="1"/>
    <xf numFmtId="0" fontId="4" fillId="0" borderId="0" xfId="13" applyFill="1" applyBorder="1"/>
    <xf numFmtId="164" fontId="8" fillId="0" borderId="0" xfId="14" applyNumberFormat="1" applyFont="1"/>
    <xf numFmtId="0" fontId="8" fillId="0" borderId="0" xfId="3" applyBorder="1" applyAlignment="1">
      <alignment horizontal="center"/>
    </xf>
    <xf numFmtId="0" fontId="4" fillId="0" borderId="15" xfId="13" applyBorder="1" applyAlignment="1">
      <alignment horizontal="center"/>
    </xf>
    <xf numFmtId="0" fontId="4" fillId="0" borderId="0" xfId="13" applyFill="1" applyBorder="1" applyAlignment="1">
      <alignment horizontal="center"/>
    </xf>
    <xf numFmtId="164" fontId="8" fillId="0" borderId="0" xfId="14" applyNumberFormat="1" applyFont="1" applyBorder="1"/>
    <xf numFmtId="164" fontId="4" fillId="0" borderId="0" xfId="13" applyNumberFormat="1"/>
    <xf numFmtId="164" fontId="4" fillId="0" borderId="0" xfId="13" applyNumberFormat="1" applyFill="1" applyBorder="1"/>
    <xf numFmtId="164" fontId="31" fillId="0" borderId="0" xfId="3" applyNumberFormat="1" applyFont="1" applyBorder="1"/>
    <xf numFmtId="164" fontId="9" fillId="0" borderId="17" xfId="3" applyNumberFormat="1" applyFont="1" applyBorder="1"/>
    <xf numFmtId="0" fontId="21" fillId="0" borderId="0" xfId="13" applyFont="1"/>
    <xf numFmtId="0" fontId="24" fillId="0" borderId="0" xfId="13" applyFont="1"/>
    <xf numFmtId="0" fontId="34" fillId="0" borderId="0" xfId="3" applyFont="1" applyBorder="1" applyAlignment="1">
      <alignment horizontal="center"/>
    </xf>
    <xf numFmtId="0" fontId="35" fillId="0" borderId="0" xfId="3" applyFont="1" applyBorder="1" applyAlignment="1">
      <alignment horizontal="center"/>
    </xf>
    <xf numFmtId="0" fontId="36" fillId="0" borderId="0" xfId="3" applyFont="1" applyFill="1" applyBorder="1"/>
    <xf numFmtId="165" fontId="36" fillId="0" borderId="0" xfId="6" applyNumberFormat="1" applyFont="1" applyFill="1" applyBorder="1"/>
    <xf numFmtId="0" fontId="32" fillId="0" borderId="0" xfId="13" applyFont="1" applyBorder="1"/>
    <xf numFmtId="0" fontId="25" fillId="0" borderId="0" xfId="13" applyFont="1"/>
    <xf numFmtId="0" fontId="37" fillId="0" borderId="0" xfId="3" applyFont="1" applyFill="1" applyBorder="1"/>
    <xf numFmtId="165" fontId="37" fillId="0" borderId="0" xfId="6" applyNumberFormat="1" applyFont="1" applyFill="1" applyBorder="1"/>
    <xf numFmtId="0" fontId="26" fillId="0" borderId="0" xfId="13" applyFont="1"/>
    <xf numFmtId="0" fontId="4" fillId="0" borderId="21" xfId="13" applyBorder="1"/>
    <xf numFmtId="0" fontId="17" fillId="0" borderId="0" xfId="13" applyFont="1"/>
    <xf numFmtId="0" fontId="4" fillId="0" borderId="0" xfId="13" applyAlignment="1">
      <alignment horizontal="center"/>
    </xf>
    <xf numFmtId="164" fontId="4" fillId="0" borderId="0" xfId="14" applyNumberFormat="1" applyFont="1"/>
    <xf numFmtId="9" fontId="4" fillId="0" borderId="0" xfId="13" applyNumberFormat="1"/>
    <xf numFmtId="0" fontId="4" fillId="0" borderId="0" xfId="13" applyFont="1"/>
    <xf numFmtId="0" fontId="3" fillId="0" borderId="0" xfId="13" applyFont="1"/>
    <xf numFmtId="43" fontId="4" fillId="0" borderId="0" xfId="1" applyFont="1"/>
    <xf numFmtId="43" fontId="11" fillId="0" borderId="0" xfId="1" applyFont="1" applyBorder="1" applyAlignment="1">
      <alignment horizontal="center"/>
    </xf>
    <xf numFmtId="43" fontId="14" fillId="0" borderId="0" xfId="1" applyFont="1" applyFill="1" applyBorder="1"/>
    <xf numFmtId="43" fontId="15" fillId="0" borderId="0" xfId="1" applyFont="1" applyFill="1" applyBorder="1"/>
    <xf numFmtId="43" fontId="35" fillId="0" borderId="0" xfId="1" applyFont="1" applyBorder="1" applyAlignment="1">
      <alignment horizontal="center"/>
    </xf>
    <xf numFmtId="43" fontId="36" fillId="0" borderId="0" xfId="1" applyFont="1" applyFill="1" applyBorder="1"/>
    <xf numFmtId="43" fontId="37" fillId="0" borderId="0" xfId="1" applyFont="1" applyFill="1" applyBorder="1"/>
    <xf numFmtId="0" fontId="11" fillId="0" borderId="0" xfId="0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center" vertical="center" wrapText="1"/>
    </xf>
    <xf numFmtId="0" fontId="2" fillId="0" borderId="0" xfId="13" applyFont="1"/>
    <xf numFmtId="0" fontId="1" fillId="0" borderId="0" xfId="15"/>
    <xf numFmtId="43" fontId="1" fillId="0" borderId="0" xfId="1" applyFont="1"/>
    <xf numFmtId="0" fontId="1" fillId="0" borderId="0" xfId="15" applyFont="1"/>
    <xf numFmtId="0" fontId="33" fillId="0" borderId="0" xfId="15" applyFont="1"/>
    <xf numFmtId="0" fontId="1" fillId="0" borderId="0" xfId="15" applyFill="1" applyBorder="1"/>
    <xf numFmtId="164" fontId="8" fillId="0" borderId="0" xfId="16" applyNumberFormat="1" applyFont="1"/>
    <xf numFmtId="0" fontId="1" fillId="0" borderId="15" xfId="15" applyBorder="1" applyAlignment="1">
      <alignment horizontal="center"/>
    </xf>
    <xf numFmtId="0" fontId="1" fillId="0" borderId="0" xfId="15" applyFill="1" applyBorder="1" applyAlignment="1">
      <alignment horizontal="center"/>
    </xf>
    <xf numFmtId="164" fontId="8" fillId="0" borderId="0" xfId="16" applyNumberFormat="1" applyFont="1" applyBorder="1"/>
    <xf numFmtId="164" fontId="1" fillId="0" borderId="0" xfId="15" applyNumberFormat="1"/>
    <xf numFmtId="164" fontId="1" fillId="0" borderId="0" xfId="15" applyNumberFormat="1" applyFill="1" applyBorder="1"/>
    <xf numFmtId="0" fontId="21" fillId="0" borderId="0" xfId="15" applyFont="1"/>
    <xf numFmtId="0" fontId="24" fillId="0" borderId="0" xfId="15" applyFont="1"/>
    <xf numFmtId="0" fontId="32" fillId="0" borderId="0" xfId="15" applyFont="1" applyBorder="1"/>
    <xf numFmtId="0" fontId="25" fillId="0" borderId="0" xfId="15" applyFont="1"/>
    <xf numFmtId="0" fontId="26" fillId="0" borderId="0" xfId="15" applyFont="1"/>
    <xf numFmtId="0" fontId="1" fillId="0" borderId="21" xfId="15" applyBorder="1"/>
    <xf numFmtId="0" fontId="17" fillId="0" borderId="0" xfId="15" applyFont="1"/>
    <xf numFmtId="0" fontId="1" fillId="0" borderId="0" xfId="15" applyAlignment="1">
      <alignment horizontal="center"/>
    </xf>
    <xf numFmtId="164" fontId="1" fillId="0" borderId="0" xfId="16" applyNumberFormat="1" applyFont="1"/>
    <xf numFmtId="9" fontId="1" fillId="0" borderId="0" xfId="15" applyNumberFormat="1"/>
    <xf numFmtId="0" fontId="1" fillId="0" borderId="0" xfId="13" applyFont="1"/>
    <xf numFmtId="43" fontId="38" fillId="0" borderId="0" xfId="1" applyFont="1"/>
    <xf numFmtId="0" fontId="7" fillId="0" borderId="12" xfId="4" applyBorder="1" applyAlignment="1">
      <alignment horizontal="center"/>
    </xf>
    <xf numFmtId="0" fontId="7" fillId="0" borderId="13" xfId="4" applyBorder="1" applyAlignment="1">
      <alignment horizontal="center"/>
    </xf>
    <xf numFmtId="0" fontId="7" fillId="0" borderId="14" xfId="4" applyBorder="1" applyAlignment="1">
      <alignment horizontal="center"/>
    </xf>
    <xf numFmtId="0" fontId="7" fillId="0" borderId="7" xfId="4" applyBorder="1" applyAlignment="1">
      <alignment horizontal="center"/>
    </xf>
    <xf numFmtId="0" fontId="7" fillId="0" borderId="2" xfId="4" applyBorder="1" applyAlignment="1">
      <alignment horizontal="center"/>
    </xf>
    <xf numFmtId="0" fontId="7" fillId="0" borderId="8" xfId="4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6" fillId="0" borderId="7" xfId="9" applyBorder="1" applyAlignment="1">
      <alignment horizontal="center"/>
    </xf>
    <xf numFmtId="0" fontId="6" fillId="0" borderId="2" xfId="9" applyBorder="1" applyAlignment="1">
      <alignment horizontal="center"/>
    </xf>
    <xf numFmtId="0" fontId="6" fillId="0" borderId="8" xfId="9" applyBorder="1" applyAlignment="1">
      <alignment horizontal="center"/>
    </xf>
    <xf numFmtId="0" fontId="5" fillId="0" borderId="7" xfId="10" applyBorder="1" applyAlignment="1">
      <alignment horizontal="center"/>
    </xf>
    <xf numFmtId="0" fontId="5" fillId="0" borderId="2" xfId="10" applyBorder="1" applyAlignment="1">
      <alignment horizontal="center"/>
    </xf>
    <xf numFmtId="0" fontId="5" fillId="0" borderId="8" xfId="10" applyBorder="1" applyAlignment="1">
      <alignment horizontal="center"/>
    </xf>
    <xf numFmtId="0" fontId="1" fillId="0" borderId="0" xfId="15" applyBorder="1" applyAlignment="1">
      <alignment horizontal="center"/>
    </xf>
    <xf numFmtId="0" fontId="32" fillId="0" borderId="0" xfId="15" applyFont="1" applyBorder="1" applyAlignment="1">
      <alignment horizontal="center"/>
    </xf>
    <xf numFmtId="0" fontId="4" fillId="0" borderId="0" xfId="13" applyBorder="1" applyAlignment="1">
      <alignment horizontal="center"/>
    </xf>
    <xf numFmtId="0" fontId="32" fillId="0" borderId="0" xfId="13" applyFont="1" applyBorder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</cellXfs>
  <cellStyles count="17">
    <cellStyle name="Comma" xfId="1" builtinId="3"/>
    <cellStyle name="Comma 2" xfId="7"/>
    <cellStyle name="Comma 3" xfId="11"/>
    <cellStyle name="Comma 4" xfId="6"/>
    <cellStyle name="Comma 5" xfId="14"/>
    <cellStyle name="Comma 5 2" xfId="16"/>
    <cellStyle name="Currency" xfId="8" builtinId="4"/>
    <cellStyle name="Normal" xfId="0" builtinId="0"/>
    <cellStyle name="Normal 2" xfId="4"/>
    <cellStyle name="Normal 3" xfId="3"/>
    <cellStyle name="Normal 4" xfId="9"/>
    <cellStyle name="Normal 5" xfId="10"/>
    <cellStyle name="Normal 6" xfId="13"/>
    <cellStyle name="Normal 6 2" xfId="15"/>
    <cellStyle name="Percent" xfId="2" builtinId="5"/>
    <cellStyle name="Percent 2" xfId="5"/>
    <cellStyle name="Percent 3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24.xml"/><Relationship Id="rId63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45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7.xml"/><Relationship Id="rId45" Type="http://schemas.openxmlformats.org/officeDocument/2006/relationships/externalLink" Target="externalLinks/externalLink22.xml"/><Relationship Id="rId53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43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33.xml"/><Relationship Id="rId64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46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8.xml"/><Relationship Id="rId72" Type="http://schemas.openxmlformats.org/officeDocument/2006/relationships/externalLink" Target="externalLinks/externalLink4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23.xml"/><Relationship Id="rId59" Type="http://schemas.openxmlformats.org/officeDocument/2006/relationships/externalLink" Target="externalLinks/externalLink36.xml"/><Relationship Id="rId67" Type="http://schemas.openxmlformats.org/officeDocument/2006/relationships/externalLink" Target="externalLinks/externalLink4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54" Type="http://schemas.openxmlformats.org/officeDocument/2006/relationships/externalLink" Target="externalLinks/externalLink31.xml"/><Relationship Id="rId62" Type="http://schemas.openxmlformats.org/officeDocument/2006/relationships/externalLink" Target="externalLinks/externalLink39.xml"/><Relationship Id="rId70" Type="http://schemas.openxmlformats.org/officeDocument/2006/relationships/externalLink" Target="externalLinks/externalLink47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26.xml"/><Relationship Id="rId57" Type="http://schemas.openxmlformats.org/officeDocument/2006/relationships/externalLink" Target="externalLinks/externalLink3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8.xml"/><Relationship Id="rId44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29.xml"/><Relationship Id="rId60" Type="http://schemas.openxmlformats.org/officeDocument/2006/relationships/externalLink" Target="externalLinks/externalLink37.xml"/><Relationship Id="rId65" Type="http://schemas.openxmlformats.org/officeDocument/2006/relationships/externalLink" Target="externalLinks/externalLink42.xml"/><Relationship Id="rId73" Type="http://schemas.openxmlformats.org/officeDocument/2006/relationships/externalLink" Target="externalLinks/externalLink5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27.xml"/><Relationship Id="rId55" Type="http://schemas.openxmlformats.org/officeDocument/2006/relationships/externalLink" Target="externalLinks/externalLink32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2017%20Rev\FY17%20Rev%20(Sep2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EMSS\VPEMS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EMSS\OA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EMSS\FA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EMSS\Recreation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EMSS\Counselling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EMSS\Student%20Life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EMSS\Health%20Service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EMSS\Residence%20Hall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AS\VPA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AS\H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IA\VPIA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AS\BO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AS\Maintenance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(Sep08)\Budget\2018%20Budget\Revenue\FY18%20Rev-Final%2002Nov16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-Apr14\Budget\2019%20Budget\Revenue%20Projection%20-FY2019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-28Jul2020\Budget\2022%20Budget\VPAS\FY2022%20Bookstore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MAE~1\AppData\Local\Temp\2022%20Budget\VPAS\FY2022%20Dining%20Hall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MAE~1\AppData\Local\Temp\2022%20Budget\Revenue\Enrollment%20Data%20for%20FY%202022%20Budget%20Preparation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2017%20Rev\FY17%20Rev%20(Sep24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MAE~1\AppData\Local\Temp\2022%20Budget\OP\OP%20CONSOLIDATED%20BUDGET-2022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MAE~1\AppData\Local\Temp\2022%20Budget\CTEC\CTEC%20CONSOLIDATED%20BUDGET-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IA\SocSci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MAE~1\AppData\Local\Temp\2022%20Budget\CC\CHUUK%20CONSOLIDATED%20BUDGET-2022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MAE~1\AppData\Local\Temp\2022%20Budget\KC\KOSRAE%20CONSOLIDATED%20BUDGET-2022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MAE~1\AppData\Local\Temp\2022%20Budget\YC%20&amp;%20FMI\YAP%20CONSOLIDATED%20BUDGET-2022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MAE~1\AppData\Local\Temp\2022%20Budget\VPIEQA\VPIEQA%20CONSOLIDATED%20BUDGET-2022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MAE~1\AppData\Local\Temp\2022%20Budget\VPIA\VPIA%20CONSOLIDATED%20BUDGET-2022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MAE~1\AppData\Local\Temp\2022%20Budget\VPAS\VPAS%20CONSOLIDATED%20BUDGET-2022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MAE~1\AppData\Local\Temp\2022%20Budget\VPEMSS\VPEMSS%20CONSOLIDATED%20BUDGET-202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2017%20Budget/New%20Budget%20nov%2016/Final%20For%20%20Balancing/VP%20Exp%20Consolidated%20-%20Rev%20Nov30-B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(Sep08)\Budget\2018%20Budget\2018%20Vacant%20and%20new%20position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New%20Budget%20Nov12/VP%20Exp%20ConsolidatedNov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IA\Education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Final%20For%20%20Balancing\VP%20Exp%20Consolidated%20-%20Rev%20Nov30-B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-28Jul2020\Budget\2021%20Budget(Oct24)\FY2021%20Revenue%20Projection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POHNPEI\CONSOLIDATED%20POHNPEI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Chuuk\CONSOLIDATED%20Chuuk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Kosrae\CONSOLIDATED%20KOSRAE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Yap\CONSOLIDATED%20YAP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VPIEQA\CONSOLIDATED%20VPIEQA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VPIA\VPIA%20CONSOLIDATED%20BUDGET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VPAS\CONSOLIDATED%20VPA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VPEMSS\VPEMSS%20CONSOLIDATED%20BUDG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IA\Business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RBT/Budget/2017%20Budget/New%20Budget%20nov%2016/Final%20For%20%20Balancing/VP%20Exp%20Consolidated%20-%20Rev%20Nov25-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IA\Math%20and%20Scienc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IA\English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IA\Public%20Health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IA\L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 Rev"/>
      <sheetName val="Variables"/>
      <sheetName val="Facility Fee.1"/>
      <sheetName val="Tuition (5years)"/>
      <sheetName val="Tuition (4years)"/>
      <sheetName val="StudentHealthReg(4yrs)"/>
      <sheetName val="Tuition(3yrs)"/>
      <sheetName val="Facility Fee"/>
      <sheetName val="StudentHealthReg"/>
      <sheetName val="Proj Rev (2)"/>
      <sheetName val="Proj Rev (3)"/>
      <sheetName val="Proj Rev (4)"/>
      <sheetName val="StudentHealthReg(3YRS)"/>
      <sheetName val="Proj Exp C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3">
          <cell r="F33">
            <v>1605</v>
          </cell>
          <cell r="O33">
            <v>1375</v>
          </cell>
          <cell r="W33">
            <v>611</v>
          </cell>
        </row>
        <row r="34">
          <cell r="F34">
            <v>739</v>
          </cell>
          <cell r="O34">
            <v>724</v>
          </cell>
          <cell r="W34">
            <v>470</v>
          </cell>
        </row>
        <row r="37">
          <cell r="X37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9">
          <cell r="C29">
            <v>-422995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C20">
            <v>-135599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">
          <cell r="C9">
            <v>8482</v>
          </cell>
        </row>
        <row r="23">
          <cell r="C23">
            <v>-164183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8">
          <cell r="C18">
            <v>-70334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2">
          <cell r="C22">
            <v>-151676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C8">
            <v>6452</v>
          </cell>
        </row>
        <row r="15">
          <cell r="C15">
            <v>-36003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1">
          <cell r="C21">
            <v>-37374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9">
          <cell r="C19">
            <v>-149431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">
          <cell r="C24">
            <v>-198478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6">
          <cell r="C26">
            <v>-205382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6">
          <cell r="C36">
            <v>-767196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8">
          <cell r="C28">
            <v>-376452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4">
          <cell r="C34">
            <v>-1317685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Rev "/>
      <sheetName val="Proj Rev(3yr ave. @ 15 credits)"/>
      <sheetName val="Rev(5%)"/>
      <sheetName val="Credit projection"/>
      <sheetName val="StudentHealthReg(3YRS)"/>
      <sheetName val="Proj Exp Cons"/>
    </sheetNames>
    <sheetDataSet>
      <sheetData sheetId="0"/>
      <sheetData sheetId="1"/>
      <sheetData sheetId="2"/>
      <sheetData sheetId="3"/>
      <sheetData sheetId="4"/>
      <sheetData sheetId="5">
        <row r="57">
          <cell r="C57">
            <v>13166.089376053962</v>
          </cell>
          <cell r="D57">
            <v>12101.606489945154</v>
          </cell>
          <cell r="E57">
            <v>444.06825938566556</v>
          </cell>
          <cell r="K57">
            <v>618.29423271500866</v>
          </cell>
          <cell r="L57">
            <v>671.18108775137148</v>
          </cell>
          <cell r="M57">
            <v>2322.5062116040958</v>
          </cell>
        </row>
        <row r="58">
          <cell r="C58">
            <v>6631.9951997522458</v>
          </cell>
          <cell r="D58">
            <v>4621.9024856596561</v>
          </cell>
          <cell r="E58">
            <v>1506</v>
          </cell>
          <cell r="K58">
            <v>1714.8587457417154</v>
          </cell>
          <cell r="L58">
            <v>1886.0315360101979</v>
          </cell>
          <cell r="M58">
            <v>1380.5</v>
          </cell>
        </row>
        <row r="59">
          <cell r="C59">
            <v>2793.46875</v>
          </cell>
          <cell r="D59">
            <v>2705.6341789052067</v>
          </cell>
          <cell r="K59">
            <v>566.174125</v>
          </cell>
          <cell r="L59">
            <v>442.9372496662217</v>
          </cell>
          <cell r="M59">
            <v>754.38000000000011</v>
          </cell>
        </row>
        <row r="60">
          <cell r="C60">
            <v>1607.0911285455643</v>
          </cell>
          <cell r="D60">
            <v>1517.0858283433136</v>
          </cell>
          <cell r="K60">
            <v>839.64387447193724</v>
          </cell>
          <cell r="L60">
            <v>608.73868263473059</v>
          </cell>
          <cell r="M60">
            <v>709.28000000000009</v>
          </cell>
        </row>
        <row r="61">
          <cell r="C61">
            <v>1961.6341030195381</v>
          </cell>
          <cell r="D61">
            <v>1821.7102860620817</v>
          </cell>
          <cell r="K61">
            <v>338.27846062759033</v>
          </cell>
          <cell r="L61">
            <v>435.45538648813147</v>
          </cell>
          <cell r="M61">
            <v>528.66000000000008</v>
          </cell>
        </row>
      </sheetData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Rev "/>
      <sheetName val="Proj Rev(3yr ave. @ 15 credits)"/>
      <sheetName val="2018"/>
      <sheetName val="2019"/>
      <sheetName val="StudentHealthReg(3YRS)"/>
      <sheetName val="Proj Exp Cons"/>
      <sheetName val="Proj 2019"/>
      <sheetName val="Proj 2020"/>
      <sheetName val="Proj 2021"/>
      <sheetName val="Proj 2022"/>
    </sheetNames>
    <sheetDataSet>
      <sheetData sheetId="0"/>
      <sheetData sheetId="1"/>
      <sheetData sheetId="2"/>
      <sheetData sheetId="3"/>
      <sheetData sheetId="4"/>
      <sheetData sheetId="5">
        <row r="12">
          <cell r="J12">
            <v>8099092.6921662679</v>
          </cell>
        </row>
        <row r="13">
          <cell r="J13">
            <v>262750</v>
          </cell>
        </row>
        <row r="14">
          <cell r="J14">
            <v>713290.98834714061</v>
          </cell>
        </row>
        <row r="17">
          <cell r="J17">
            <v>100000</v>
          </cell>
        </row>
        <row r="26">
          <cell r="C26">
            <v>948</v>
          </cell>
          <cell r="D26">
            <v>885</v>
          </cell>
          <cell r="E26">
            <v>428</v>
          </cell>
        </row>
        <row r="27">
          <cell r="C27">
            <v>642</v>
          </cell>
          <cell r="D27">
            <v>543</v>
          </cell>
          <cell r="E27">
            <v>251</v>
          </cell>
        </row>
        <row r="28">
          <cell r="C28">
            <v>249</v>
          </cell>
          <cell r="D28">
            <v>232</v>
          </cell>
          <cell r="E28">
            <v>127</v>
          </cell>
        </row>
        <row r="29">
          <cell r="C29">
            <v>205</v>
          </cell>
          <cell r="D29">
            <v>178</v>
          </cell>
          <cell r="E29">
            <v>124</v>
          </cell>
        </row>
        <row r="30">
          <cell r="C30">
            <v>176</v>
          </cell>
          <cell r="D30">
            <v>178</v>
          </cell>
          <cell r="E30">
            <v>89</v>
          </cell>
        </row>
      </sheetData>
      <sheetData sheetId="6"/>
      <sheetData sheetId="7"/>
      <sheetData sheetId="8"/>
      <sheetData sheetId="9">
        <row r="31">
          <cell r="K31">
            <v>0.92588532883642494</v>
          </cell>
          <cell r="L31">
            <v>0.91160877513711147</v>
          </cell>
          <cell r="M31">
            <v>1</v>
          </cell>
          <cell r="Q31">
            <v>7.4114671163575063E-2</v>
          </cell>
          <cell r="R31">
            <v>8.8391224862888529E-2</v>
          </cell>
          <cell r="S31">
            <v>0.66666666666666663</v>
          </cell>
        </row>
        <row r="32">
          <cell r="K32">
            <v>0.6886807061009601</v>
          </cell>
          <cell r="L32">
            <v>0.56745272997663054</v>
          </cell>
          <cell r="M32">
            <v>0</v>
          </cell>
          <cell r="Q32">
            <v>0.3113192938990399</v>
          </cell>
          <cell r="R32">
            <v>0.43254727002336946</v>
          </cell>
          <cell r="S32">
            <v>1</v>
          </cell>
        </row>
        <row r="33">
          <cell r="K33">
            <v>0.74791666666666667</v>
          </cell>
          <cell r="L33">
            <v>0.77748108589230081</v>
          </cell>
          <cell r="M33">
            <v>0</v>
          </cell>
          <cell r="Q33">
            <v>0.25208333333333333</v>
          </cell>
          <cell r="R33">
            <v>0.22251891410769919</v>
          </cell>
          <cell r="S33">
            <v>1</v>
          </cell>
        </row>
        <row r="34">
          <cell r="K34">
            <v>0.52263126131563065</v>
          </cell>
          <cell r="L34">
            <v>0.56819693945442451</v>
          </cell>
          <cell r="M34">
            <v>0</v>
          </cell>
          <cell r="Q34">
            <v>0.4773687386843693</v>
          </cell>
          <cell r="R34">
            <v>0.43180306054557543</v>
          </cell>
          <cell r="S34">
            <v>1</v>
          </cell>
        </row>
        <row r="35">
          <cell r="K35">
            <v>0.74304322084073415</v>
          </cell>
          <cell r="L35">
            <v>0.68228849665246505</v>
          </cell>
          <cell r="M35">
            <v>0</v>
          </cell>
          <cell r="Q35">
            <v>0.25695677915926585</v>
          </cell>
          <cell r="R35">
            <v>0.31771150334753495</v>
          </cell>
          <cell r="S35">
            <v>1</v>
          </cell>
        </row>
      </sheetData>
      <sheetData sheetId="10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"/>
      <sheetName val="rev_exp"/>
      <sheetName val="3.Pay Level"/>
      <sheetName val="4.Fringe_Benefits"/>
      <sheetName val="5.Budget_Items"/>
      <sheetName val="Activity Cost"/>
      <sheetName val="Pay Levels"/>
      <sheetName val="line item"/>
      <sheetName val="Summary"/>
    </sheetNames>
    <sheetDataSet>
      <sheetData sheetId="0"/>
      <sheetData sheetId="1"/>
      <sheetData sheetId="2">
        <row r="29">
          <cell r="G29">
            <v>65253.152681976644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_exp"/>
      <sheetName val="1.Directions"/>
      <sheetName val="2.Performance_Items"/>
      <sheetName val="3.Pay Level"/>
      <sheetName val="4.Fringe_Benefits"/>
      <sheetName val="5.Budget_Items"/>
      <sheetName val="line item"/>
      <sheetName val="Activity Cost"/>
      <sheetName val="Pay Levels"/>
      <sheetName val="Summary"/>
    </sheetNames>
    <sheetDataSet>
      <sheetData sheetId="0">
        <row r="28">
          <cell r="G28">
            <v>48533.325547200016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rollment data"/>
      <sheetName val="Headcount"/>
      <sheetName val="FT PT"/>
    </sheetNames>
    <sheetDataSet>
      <sheetData sheetId="0" refreshError="1"/>
      <sheetData sheetId="1">
        <row r="7">
          <cell r="N7">
            <v>941.5</v>
          </cell>
          <cell r="O7">
            <v>11945.083333333334</v>
          </cell>
        </row>
        <row r="8">
          <cell r="N8">
            <v>550.33333333333337</v>
          </cell>
          <cell r="O8">
            <v>6001.916666666667</v>
          </cell>
        </row>
        <row r="9">
          <cell r="N9">
            <v>253.16666666666666</v>
          </cell>
          <cell r="O9">
            <v>3002.3333333333335</v>
          </cell>
        </row>
        <row r="10">
          <cell r="N10">
            <v>172</v>
          </cell>
          <cell r="O10">
            <v>1741.6666666666667</v>
          </cell>
        </row>
        <row r="11">
          <cell r="N11">
            <v>168.66666666666666</v>
          </cell>
          <cell r="O11">
            <v>1828.9166666666667</v>
          </cell>
        </row>
        <row r="12">
          <cell r="N12">
            <v>2085.666666666667</v>
          </cell>
          <cell r="O12">
            <v>24519.916666666668</v>
          </cell>
        </row>
        <row r="21">
          <cell r="N21">
            <v>833.66666666666663</v>
          </cell>
          <cell r="O21">
            <v>10600.5</v>
          </cell>
        </row>
        <row r="22">
          <cell r="N22">
            <v>419.66666666666669</v>
          </cell>
          <cell r="O22">
            <v>4579.25</v>
          </cell>
        </row>
        <row r="23">
          <cell r="N23">
            <v>217.83333333333334</v>
          </cell>
          <cell r="O23">
            <v>2507.8333333333335</v>
          </cell>
        </row>
        <row r="24">
          <cell r="N24">
            <v>147.66666666666666</v>
          </cell>
          <cell r="O24">
            <v>1428.5</v>
          </cell>
        </row>
        <row r="25">
          <cell r="N25">
            <v>148.5</v>
          </cell>
          <cell r="O25">
            <v>1573.5</v>
          </cell>
        </row>
        <row r="26">
          <cell r="N26">
            <v>1767.3333333333333</v>
          </cell>
          <cell r="O26">
            <v>20689.583333333332</v>
          </cell>
        </row>
        <row r="36">
          <cell r="N36">
            <v>431.83333333333331</v>
          </cell>
          <cell r="O36">
            <v>2489.5833333333335</v>
          </cell>
        </row>
        <row r="37">
          <cell r="N37">
            <v>220.83333333333334</v>
          </cell>
          <cell r="O37">
            <v>1231.5833333333333</v>
          </cell>
        </row>
        <row r="38">
          <cell r="N38">
            <v>154.66666666666666</v>
          </cell>
          <cell r="O38">
            <v>890.66666666666663</v>
          </cell>
        </row>
        <row r="39">
          <cell r="N39">
            <v>114</v>
          </cell>
          <cell r="O39">
            <v>621.33333333333337</v>
          </cell>
        </row>
        <row r="40">
          <cell r="N40">
            <v>95.833333333333329</v>
          </cell>
          <cell r="O40">
            <v>525.5</v>
          </cell>
        </row>
        <row r="41">
          <cell r="N41">
            <v>1017.1666666666666</v>
          </cell>
          <cell r="O41">
            <v>5758.666666666667</v>
          </cell>
        </row>
      </sheetData>
      <sheetData sheetId="2">
        <row r="12">
          <cell r="AF12">
            <v>1465.3333333333335</v>
          </cell>
          <cell r="AH12">
            <v>620.33333333333337</v>
          </cell>
        </row>
        <row r="22">
          <cell r="AF22">
            <v>1237.8333333333333</v>
          </cell>
          <cell r="AH22">
            <v>529.5</v>
          </cell>
        </row>
        <row r="32">
          <cell r="AF32">
            <v>735.16666666666663</v>
          </cell>
          <cell r="AH32">
            <v>281.66666666666663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Rev "/>
      <sheetName val="StudentHealthReg(3YRS)"/>
      <sheetName val="Proj Exp Cons"/>
    </sheetNames>
    <sheetDataSet>
      <sheetData sheetId="0"/>
      <sheetData sheetId="1"/>
      <sheetData sheetId="2"/>
      <sheetData sheetId="3">
        <row r="29">
          <cell r="H29">
            <v>12793257.436262501</v>
          </cell>
        </row>
      </sheetData>
      <sheetData sheetId="4"/>
      <sheetData sheetId="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8-2022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8">
          <cell r="AS8">
            <v>231578.75312775717</v>
          </cell>
        </row>
        <row r="9">
          <cell r="AS9">
            <v>2410.897691246766</v>
          </cell>
        </row>
        <row r="10">
          <cell r="AS10">
            <v>0</v>
          </cell>
        </row>
        <row r="11">
          <cell r="AS11">
            <v>10252.185349886833</v>
          </cell>
        </row>
        <row r="12">
          <cell r="AS12">
            <v>3863.44</v>
          </cell>
        </row>
        <row r="13">
          <cell r="AS13">
            <v>2086.8231001835179</v>
          </cell>
        </row>
        <row r="14">
          <cell r="AS14">
            <v>7019.7195245701178</v>
          </cell>
        </row>
        <row r="15">
          <cell r="AS15">
            <v>16800</v>
          </cell>
        </row>
        <row r="18">
          <cell r="AS18">
            <v>25000</v>
          </cell>
        </row>
        <row r="19">
          <cell r="AS19">
            <v>14636</v>
          </cell>
        </row>
        <row r="22">
          <cell r="AS22">
            <v>33000</v>
          </cell>
        </row>
        <row r="23">
          <cell r="AS23">
            <v>20992</v>
          </cell>
        </row>
        <row r="26">
          <cell r="AS26">
            <v>8500</v>
          </cell>
        </row>
        <row r="27">
          <cell r="AS27">
            <v>1600</v>
          </cell>
        </row>
        <row r="34">
          <cell r="AS34">
            <v>30000</v>
          </cell>
        </row>
        <row r="35">
          <cell r="AS35">
            <v>15876</v>
          </cell>
        </row>
        <row r="37">
          <cell r="AS37">
            <v>20000</v>
          </cell>
        </row>
        <row r="38">
          <cell r="AS38">
            <v>20000</v>
          </cell>
        </row>
        <row r="39">
          <cell r="AS39">
            <v>31500</v>
          </cell>
        </row>
        <row r="46">
          <cell r="AS46">
            <v>5000</v>
          </cell>
        </row>
        <row r="49">
          <cell r="AS49">
            <v>500115.81879364443</v>
          </cell>
        </row>
      </sheetData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nstructional"/>
      <sheetName val="2017"/>
      <sheetName val="2018-2022"/>
      <sheetName val="administration"/>
      <sheetName val="student services"/>
    </sheetNames>
    <sheetDataSet>
      <sheetData sheetId="0"/>
      <sheetData sheetId="1"/>
      <sheetData sheetId="2"/>
      <sheetData sheetId="3"/>
      <sheetData sheetId="4"/>
      <sheetData sheetId="5">
        <row r="8">
          <cell r="AP8">
            <v>1077034.9665473904</v>
          </cell>
        </row>
        <row r="9">
          <cell r="AP9">
            <v>14739.687576549019</v>
          </cell>
        </row>
        <row r="10">
          <cell r="AP10">
            <v>96505</v>
          </cell>
        </row>
        <row r="12">
          <cell r="AP12">
            <v>85428.227905449326</v>
          </cell>
        </row>
        <row r="13">
          <cell r="AP13">
            <v>44113.96</v>
          </cell>
        </row>
        <row r="14">
          <cell r="AP14">
            <v>18010</v>
          </cell>
        </row>
        <row r="15">
          <cell r="AP15">
            <v>34391.535008333565</v>
          </cell>
        </row>
        <row r="16">
          <cell r="AP16">
            <v>93600</v>
          </cell>
        </row>
        <row r="27">
          <cell r="AP27">
            <v>45500</v>
          </cell>
        </row>
        <row r="28">
          <cell r="AP28">
            <v>600</v>
          </cell>
        </row>
        <row r="29">
          <cell r="AP29">
            <v>500</v>
          </cell>
        </row>
        <row r="30">
          <cell r="AP30">
            <v>75000</v>
          </cell>
        </row>
        <row r="31">
          <cell r="AP31">
            <v>8000</v>
          </cell>
        </row>
        <row r="33">
          <cell r="AP33">
            <v>1000</v>
          </cell>
        </row>
        <row r="36">
          <cell r="AP36">
            <v>800</v>
          </cell>
        </row>
        <row r="38">
          <cell r="AP38">
            <v>20000</v>
          </cell>
        </row>
        <row r="39">
          <cell r="AP39">
            <v>3500</v>
          </cell>
        </row>
        <row r="42">
          <cell r="AP42">
            <v>1500</v>
          </cell>
        </row>
        <row r="50">
          <cell r="AP50">
            <v>1620223.3770377224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-244805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8-2022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8">
          <cell r="AP8">
            <v>770666.70699205541</v>
          </cell>
        </row>
        <row r="9">
          <cell r="AP9">
            <v>12012.428049388374</v>
          </cell>
        </row>
        <row r="10">
          <cell r="AP10">
            <v>62603</v>
          </cell>
        </row>
        <row r="12">
          <cell r="AP12">
            <v>60890.645916569832</v>
          </cell>
        </row>
        <row r="13">
          <cell r="AP13">
            <v>34863</v>
          </cell>
        </row>
        <row r="14">
          <cell r="AP14">
            <v>13493.294118868074</v>
          </cell>
        </row>
        <row r="15">
          <cell r="AP15">
            <v>25072.331836801506</v>
          </cell>
        </row>
        <row r="16">
          <cell r="AP16">
            <v>122400</v>
          </cell>
        </row>
        <row r="27">
          <cell r="AP27">
            <v>34500</v>
          </cell>
        </row>
        <row r="28">
          <cell r="AP28">
            <v>5500</v>
          </cell>
        </row>
        <row r="29">
          <cell r="AP29">
            <v>3000</v>
          </cell>
        </row>
        <row r="31">
          <cell r="AP31">
            <v>60000</v>
          </cell>
        </row>
        <row r="32">
          <cell r="AP32">
            <v>10000</v>
          </cell>
        </row>
        <row r="33">
          <cell r="AP33">
            <v>2000</v>
          </cell>
        </row>
        <row r="38">
          <cell r="AP38">
            <v>500</v>
          </cell>
        </row>
        <row r="39">
          <cell r="AP39">
            <v>15000</v>
          </cell>
        </row>
        <row r="41">
          <cell r="AP41">
            <v>95264</v>
          </cell>
        </row>
        <row r="43">
          <cell r="AP43">
            <v>500</v>
          </cell>
        </row>
        <row r="54">
          <cell r="AP54">
            <v>1328265.4069136833</v>
          </cell>
        </row>
      </sheetData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8-2022"/>
    </sheetNames>
    <sheetDataSet>
      <sheetData sheetId="0"/>
      <sheetData sheetId="1">
        <row r="8">
          <cell r="AP8">
            <v>556950</v>
          </cell>
        </row>
        <row r="9">
          <cell r="AP9">
            <v>15552.626775147932</v>
          </cell>
        </row>
        <row r="10">
          <cell r="AP10">
            <v>15372</v>
          </cell>
        </row>
        <row r="13">
          <cell r="AP13">
            <v>42415.391238905322</v>
          </cell>
        </row>
        <row r="14">
          <cell r="AP14">
            <v>14223.04</v>
          </cell>
        </row>
        <row r="15">
          <cell r="AP15">
            <v>8293.7659999999996</v>
          </cell>
        </row>
        <row r="16">
          <cell r="AP16">
            <v>7046.6900000000005</v>
          </cell>
        </row>
        <row r="17">
          <cell r="AP17">
            <v>28800</v>
          </cell>
        </row>
        <row r="25">
          <cell r="AP25">
            <v>5000</v>
          </cell>
        </row>
        <row r="28">
          <cell r="AP28">
            <v>28000</v>
          </cell>
        </row>
        <row r="29">
          <cell r="AP29">
            <v>1000</v>
          </cell>
        </row>
        <row r="30">
          <cell r="AP30">
            <v>3000</v>
          </cell>
        </row>
        <row r="32">
          <cell r="AP32">
            <v>600</v>
          </cell>
        </row>
        <row r="33">
          <cell r="AP33">
            <v>50000</v>
          </cell>
        </row>
        <row r="34">
          <cell r="AP34">
            <v>3000</v>
          </cell>
        </row>
        <row r="35">
          <cell r="AP35">
            <v>1500</v>
          </cell>
        </row>
        <row r="41">
          <cell r="AP41">
            <v>22000</v>
          </cell>
        </row>
        <row r="44">
          <cell r="AP44">
            <v>4000</v>
          </cell>
        </row>
        <row r="52">
          <cell r="AP52">
            <v>6000</v>
          </cell>
        </row>
        <row r="55">
          <cell r="AP55">
            <v>812753.51401405327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8-2022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8">
          <cell r="AP8">
            <v>484066.19232774508</v>
          </cell>
        </row>
        <row r="9">
          <cell r="AP9">
            <v>12295.400585944019</v>
          </cell>
        </row>
        <row r="10">
          <cell r="AP10">
            <v>31306</v>
          </cell>
        </row>
        <row r="12">
          <cell r="AP12">
            <v>36817.936776218994</v>
          </cell>
        </row>
        <row r="13">
          <cell r="AP13">
            <v>17802.200000000004</v>
          </cell>
        </row>
        <row r="14">
          <cell r="AP14">
            <v>6323.0722045362518</v>
          </cell>
        </row>
        <row r="15">
          <cell r="AP15">
            <v>14213.18240279529</v>
          </cell>
        </row>
        <row r="16">
          <cell r="AP16">
            <v>43200</v>
          </cell>
        </row>
        <row r="20">
          <cell r="AP20">
            <v>900</v>
          </cell>
        </row>
        <row r="24">
          <cell r="AP24">
            <v>7800</v>
          </cell>
        </row>
        <row r="27">
          <cell r="AP27">
            <v>10000</v>
          </cell>
        </row>
        <row r="29">
          <cell r="AP29">
            <v>8000</v>
          </cell>
        </row>
        <row r="32">
          <cell r="AP32">
            <v>80000</v>
          </cell>
        </row>
        <row r="33">
          <cell r="AP33">
            <v>3500</v>
          </cell>
        </row>
        <row r="34">
          <cell r="AP34">
            <v>250</v>
          </cell>
        </row>
        <row r="40">
          <cell r="AP40">
            <v>16000</v>
          </cell>
        </row>
        <row r="43">
          <cell r="AP43">
            <v>5000</v>
          </cell>
        </row>
        <row r="46">
          <cell r="AP46">
            <v>4000</v>
          </cell>
        </row>
        <row r="54">
          <cell r="AP54">
            <v>781473.98429723957</v>
          </cell>
        </row>
      </sheetData>
      <sheetData sheetId="5"/>
      <sheetData sheetId="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-IEQA"/>
      <sheetName val="2018-2022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8">
          <cell r="AO8">
            <v>191730.93792835777</v>
          </cell>
        </row>
        <row r="9">
          <cell r="AO9">
            <v>5048.6031841563272</v>
          </cell>
        </row>
        <row r="10">
          <cell r="AO10">
            <v>41544</v>
          </cell>
        </row>
        <row r="11">
          <cell r="AO11">
            <v>16053.323076923076</v>
          </cell>
        </row>
        <row r="12">
          <cell r="AO12">
            <v>10689.4</v>
          </cell>
        </row>
        <row r="13">
          <cell r="AO13">
            <v>4709.2731723832785</v>
          </cell>
        </row>
        <row r="14">
          <cell r="AO14">
            <v>7149.7062333754229</v>
          </cell>
        </row>
        <row r="15">
          <cell r="AO15">
            <v>36000</v>
          </cell>
        </row>
        <row r="18">
          <cell r="AO18">
            <v>0</v>
          </cell>
        </row>
        <row r="19">
          <cell r="AO19">
            <v>10000</v>
          </cell>
        </row>
        <row r="23">
          <cell r="AO23">
            <v>10000</v>
          </cell>
        </row>
        <row r="26">
          <cell r="AO26">
            <v>11000</v>
          </cell>
        </row>
        <row r="27">
          <cell r="AO27">
            <v>2000</v>
          </cell>
        </row>
        <row r="28">
          <cell r="AO28">
            <v>300</v>
          </cell>
        </row>
        <row r="30">
          <cell r="AO30">
            <v>205416</v>
          </cell>
        </row>
        <row r="31">
          <cell r="AF31">
            <v>10000</v>
          </cell>
        </row>
        <row r="33">
          <cell r="AO33">
            <v>38650</v>
          </cell>
        </row>
        <row r="35">
          <cell r="AO35">
            <v>20000</v>
          </cell>
        </row>
        <row r="38">
          <cell r="AO38">
            <v>20000</v>
          </cell>
        </row>
        <row r="42">
          <cell r="AO42">
            <v>640291.24359519593</v>
          </cell>
        </row>
      </sheetData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8-2022"/>
    </sheetNames>
    <sheetDataSet>
      <sheetData sheetId="0"/>
      <sheetData sheetId="1">
        <row r="8">
          <cell r="CU8">
            <v>1466395.5301626471</v>
          </cell>
        </row>
        <row r="9">
          <cell r="CU9">
            <v>27897.709806356987</v>
          </cell>
        </row>
        <row r="10">
          <cell r="CU10">
            <v>248230</v>
          </cell>
        </row>
        <row r="11">
          <cell r="CU11">
            <v>119731.27538461538</v>
          </cell>
        </row>
        <row r="12">
          <cell r="CU12">
            <v>49158.46</v>
          </cell>
        </row>
        <row r="13">
          <cell r="CU13">
            <v>20910.101599999998</v>
          </cell>
        </row>
        <row r="14">
          <cell r="CU14">
            <v>37672.091538461536</v>
          </cell>
        </row>
        <row r="15">
          <cell r="CU15">
            <v>259200</v>
          </cell>
        </row>
        <row r="17">
          <cell r="CU17">
            <v>373477</v>
          </cell>
        </row>
        <row r="21">
          <cell r="CU21">
            <v>12000</v>
          </cell>
        </row>
        <row r="28">
          <cell r="CU28">
            <v>59707</v>
          </cell>
        </row>
        <row r="29">
          <cell r="CU29">
            <v>7000</v>
          </cell>
        </row>
        <row r="30">
          <cell r="CU30">
            <v>41000</v>
          </cell>
        </row>
        <row r="33">
          <cell r="CU33">
            <v>44000</v>
          </cell>
        </row>
        <row r="34">
          <cell r="CU34">
            <v>10000</v>
          </cell>
        </row>
        <row r="35">
          <cell r="CU35">
            <v>2000</v>
          </cell>
        </row>
        <row r="36">
          <cell r="CU36">
            <v>500</v>
          </cell>
        </row>
        <row r="37">
          <cell r="CU37">
            <v>100</v>
          </cell>
        </row>
        <row r="38">
          <cell r="CU38">
            <v>3300</v>
          </cell>
        </row>
        <row r="39">
          <cell r="CU39">
            <v>2000</v>
          </cell>
        </row>
        <row r="41">
          <cell r="CU41">
            <v>1000</v>
          </cell>
        </row>
        <row r="42">
          <cell r="CU42">
            <v>5000</v>
          </cell>
        </row>
        <row r="43">
          <cell r="CU43">
            <v>50000</v>
          </cell>
        </row>
        <row r="44">
          <cell r="CU44">
            <v>10000</v>
          </cell>
        </row>
        <row r="45">
          <cell r="CU45">
            <v>13500</v>
          </cell>
        </row>
        <row r="49">
          <cell r="CU49">
            <v>500</v>
          </cell>
        </row>
        <row r="53">
          <cell r="CU53">
            <v>2864279.1684920811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8-2022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8">
          <cell r="BJ8">
            <v>669938.1751075564</v>
          </cell>
        </row>
        <row r="9">
          <cell r="BJ9">
            <v>10048.66399391186</v>
          </cell>
        </row>
        <row r="10">
          <cell r="BJ10">
            <v>52972.9</v>
          </cell>
        </row>
        <row r="11">
          <cell r="BJ11">
            <v>49638.146745525344</v>
          </cell>
        </row>
        <row r="12">
          <cell r="BJ12">
            <v>28089.659999999996</v>
          </cell>
        </row>
        <row r="13">
          <cell r="BJ13">
            <v>15118.713237982161</v>
          </cell>
        </row>
        <row r="14">
          <cell r="BJ14">
            <v>21356.653374604393</v>
          </cell>
        </row>
        <row r="15">
          <cell r="BJ15">
            <v>28800</v>
          </cell>
        </row>
        <row r="19">
          <cell r="BJ19">
            <v>15000</v>
          </cell>
        </row>
        <row r="22">
          <cell r="BJ22">
            <v>35000</v>
          </cell>
        </row>
        <row r="23">
          <cell r="BJ23">
            <v>113800</v>
          </cell>
        </row>
        <row r="24">
          <cell r="BJ24">
            <v>71000</v>
          </cell>
        </row>
        <row r="27">
          <cell r="BJ27">
            <v>91408</v>
          </cell>
        </row>
        <row r="28">
          <cell r="BJ28">
            <v>5000</v>
          </cell>
        </row>
        <row r="29">
          <cell r="BJ29">
            <v>40000</v>
          </cell>
        </row>
        <row r="30">
          <cell r="BJ30">
            <v>380000</v>
          </cell>
        </row>
        <row r="31">
          <cell r="BJ31">
            <v>77700</v>
          </cell>
        </row>
        <row r="35">
          <cell r="BJ35">
            <v>15000</v>
          </cell>
        </row>
        <row r="36">
          <cell r="BJ36">
            <v>3000</v>
          </cell>
        </row>
        <row r="37">
          <cell r="BJ37">
            <v>24000</v>
          </cell>
        </row>
        <row r="38">
          <cell r="BJ38">
            <v>104754</v>
          </cell>
        </row>
        <row r="39">
          <cell r="BJ39">
            <v>6000</v>
          </cell>
        </row>
        <row r="40">
          <cell r="BJ40">
            <v>1500</v>
          </cell>
        </row>
        <row r="46">
          <cell r="BJ46">
            <v>10000</v>
          </cell>
        </row>
        <row r="48">
          <cell r="BJ48">
            <v>1869124.9124595802</v>
          </cell>
        </row>
      </sheetData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8-2022"/>
    </sheetNames>
    <sheetDataSet>
      <sheetData sheetId="0"/>
      <sheetData sheetId="1">
        <row r="8">
          <cell r="CY8">
            <v>596938.7765049017</v>
          </cell>
        </row>
        <row r="9">
          <cell r="CY9">
            <v>12559.367385221783</v>
          </cell>
        </row>
        <row r="10">
          <cell r="CY10">
            <v>76652</v>
          </cell>
        </row>
        <row r="12">
          <cell r="CY12">
            <v>48393.259720832692</v>
          </cell>
        </row>
        <row r="13">
          <cell r="CY13">
            <v>26169.464</v>
          </cell>
        </row>
        <row r="14">
          <cell r="CY14">
            <v>12044.078363255931</v>
          </cell>
        </row>
        <row r="15">
          <cell r="CY15">
            <v>18497.159255769613</v>
          </cell>
        </row>
        <row r="16">
          <cell r="CY16">
            <v>57600</v>
          </cell>
        </row>
        <row r="25">
          <cell r="CY25">
            <v>62000</v>
          </cell>
        </row>
        <row r="28">
          <cell r="CY28">
            <v>52500</v>
          </cell>
        </row>
        <row r="29">
          <cell r="CY29">
            <v>54789.374999999985</v>
          </cell>
        </row>
        <row r="30">
          <cell r="CY30">
            <v>11500</v>
          </cell>
        </row>
        <row r="31">
          <cell r="CY31">
            <v>4000</v>
          </cell>
        </row>
        <row r="32">
          <cell r="CY32">
            <v>3500</v>
          </cell>
        </row>
        <row r="33">
          <cell r="CY33">
            <v>0</v>
          </cell>
        </row>
        <row r="34">
          <cell r="CY34">
            <v>12000</v>
          </cell>
        </row>
        <row r="36">
          <cell r="CY36">
            <v>2500</v>
          </cell>
        </row>
        <row r="37">
          <cell r="CY37">
            <v>73052.499999999985</v>
          </cell>
        </row>
        <row r="38">
          <cell r="CY38">
            <v>25000</v>
          </cell>
        </row>
        <row r="39">
          <cell r="CY39">
            <v>75000</v>
          </cell>
        </row>
        <row r="40">
          <cell r="CY40">
            <v>10000</v>
          </cell>
        </row>
        <row r="41">
          <cell r="CY41">
            <v>28500</v>
          </cell>
        </row>
        <row r="49">
          <cell r="CY49">
            <v>1263195.9802299817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"/>
      <sheetName val="Pohnpei"/>
      <sheetName val="chuuk"/>
      <sheetName val="Yap"/>
      <sheetName val="Proj Rev  (2018)"/>
      <sheetName val="Summary"/>
      <sheetName val="Proj Rev "/>
      <sheetName val="Per Campus"/>
      <sheetName val="exp line dept(2017)"/>
      <sheetName val="Kosrae"/>
      <sheetName val="exp line dept (2015-2017)"/>
      <sheetName val="exp line dept(2016)"/>
      <sheetName val="exp_line office"/>
      <sheetName val="Summer Rev &amp; 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M6">
            <v>5847969.0238652583</v>
          </cell>
        </row>
        <row r="7">
          <cell r="M7">
            <v>131874.45812427823</v>
          </cell>
        </row>
        <row r="8">
          <cell r="M8">
            <v>406527.69692307693</v>
          </cell>
        </row>
        <row r="9">
          <cell r="M9">
            <v>12149</v>
          </cell>
        </row>
        <row r="10">
          <cell r="M10">
            <v>479835.07785523392</v>
          </cell>
        </row>
        <row r="11">
          <cell r="M11">
            <v>206264.10999999996</v>
          </cell>
        </row>
        <row r="12">
          <cell r="M12">
            <v>73446.984850030203</v>
          </cell>
        </row>
        <row r="13">
          <cell r="M13">
            <v>161179.81395379684</v>
          </cell>
        </row>
        <row r="14">
          <cell r="M14">
            <v>745200</v>
          </cell>
        </row>
        <row r="15">
          <cell r="M15">
            <v>430000</v>
          </cell>
        </row>
        <row r="16">
          <cell r="M16">
            <v>62000</v>
          </cell>
        </row>
        <row r="17">
          <cell r="M17">
            <v>50000</v>
          </cell>
        </row>
        <row r="20">
          <cell r="M20">
            <v>172525</v>
          </cell>
        </row>
        <row r="21">
          <cell r="M21">
            <v>183488</v>
          </cell>
        </row>
        <row r="24">
          <cell r="M24">
            <v>180200</v>
          </cell>
        </row>
        <row r="25">
          <cell r="M25">
            <v>173992</v>
          </cell>
        </row>
        <row r="26">
          <cell r="M26">
            <v>98739</v>
          </cell>
        </row>
        <row r="29">
          <cell r="M29">
            <v>372300</v>
          </cell>
        </row>
        <row r="30">
          <cell r="M30">
            <v>83628</v>
          </cell>
        </row>
        <row r="31">
          <cell r="M31">
            <v>32100</v>
          </cell>
        </row>
        <row r="32">
          <cell r="M32">
            <v>100900</v>
          </cell>
        </row>
        <row r="33">
          <cell r="M33">
            <v>30600</v>
          </cell>
        </row>
        <row r="34">
          <cell r="M34">
            <v>356000</v>
          </cell>
        </row>
        <row r="35">
          <cell r="M35">
            <v>10000</v>
          </cell>
        </row>
        <row r="36">
          <cell r="M36">
            <v>5000</v>
          </cell>
        </row>
        <row r="37">
          <cell r="M37">
            <v>100000</v>
          </cell>
        </row>
        <row r="38">
          <cell r="M38">
            <v>819267.7</v>
          </cell>
        </row>
        <row r="39">
          <cell r="M39">
            <v>105722</v>
          </cell>
        </row>
        <row r="40">
          <cell r="M40">
            <v>23500</v>
          </cell>
        </row>
        <row r="41">
          <cell r="M41">
            <v>5000</v>
          </cell>
        </row>
        <row r="42">
          <cell r="M42">
            <v>72162.59</v>
          </cell>
        </row>
        <row r="43">
          <cell r="M43">
            <v>331250</v>
          </cell>
        </row>
        <row r="44">
          <cell r="M44">
            <v>0</v>
          </cell>
        </row>
        <row r="45">
          <cell r="M45">
            <v>104864</v>
          </cell>
        </row>
        <row r="46">
          <cell r="M46">
            <v>48031</v>
          </cell>
        </row>
        <row r="47">
          <cell r="M47">
            <v>115254</v>
          </cell>
        </row>
        <row r="48">
          <cell r="M48">
            <v>20750</v>
          </cell>
        </row>
        <row r="49">
          <cell r="M49">
            <v>65000</v>
          </cell>
        </row>
        <row r="50">
          <cell r="M50">
            <v>98000</v>
          </cell>
        </row>
        <row r="51">
          <cell r="M51">
            <v>86000</v>
          </cell>
        </row>
        <row r="52">
          <cell r="M52">
            <v>30000</v>
          </cell>
        </row>
        <row r="53">
          <cell r="M53">
            <v>25000</v>
          </cell>
        </row>
        <row r="56">
          <cell r="M56">
            <v>74650</v>
          </cell>
        </row>
        <row r="59">
          <cell r="M59">
            <v>61600</v>
          </cell>
        </row>
        <row r="60">
          <cell r="M60">
            <v>46000</v>
          </cell>
        </row>
        <row r="61">
          <cell r="M61">
            <v>100000</v>
          </cell>
        </row>
        <row r="62">
          <cell r="M62">
            <v>11200</v>
          </cell>
        </row>
        <row r="64">
          <cell r="M64">
            <v>12749169.455571674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3">
          <cell r="D83">
            <v>792782.33564260136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 (2015-2017)"/>
      <sheetName val="exp line dept(2016)"/>
      <sheetName val="exp line dept(2017)"/>
      <sheetName val="exp_line office"/>
      <sheetName val="Proj Rev 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0">
          <cell r="H20">
            <v>7673619.9362625014</v>
          </cell>
        </row>
        <row r="26">
          <cell r="J26">
            <v>1000000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">
          <cell r="C24">
            <v>-296340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"/>
      <sheetName val="Pohnpei"/>
      <sheetName val="chuuk"/>
      <sheetName val="Yap"/>
      <sheetName val="Proj Rev  (2018)"/>
      <sheetName val="Summary"/>
      <sheetName val="Proj Rev "/>
      <sheetName val="Per Campus"/>
      <sheetName val="exp line dept(2017)"/>
      <sheetName val="Kosrae"/>
      <sheetName val="exp line dept (2015-2017)"/>
      <sheetName val="exp line dept(2016)"/>
      <sheetName val="exp_line office"/>
      <sheetName val="Summer Rev &amp; 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4">
          <cell r="C64">
            <v>530961.31086493505</v>
          </cell>
          <cell r="D64">
            <v>140791.16869861732</v>
          </cell>
          <cell r="E64">
            <v>1611004.1723584614</v>
          </cell>
          <cell r="F64">
            <v>1455482.0938892309</v>
          </cell>
          <cell r="G64">
            <v>817105.14136417233</v>
          </cell>
          <cell r="H64">
            <v>745048.55834923068</v>
          </cell>
          <cell r="I64">
            <v>1091542.2598148049</v>
          </cell>
          <cell r="J64">
            <v>3058812.7179849297</v>
          </cell>
          <cell r="K64">
            <v>2119134.0317589762</v>
          </cell>
          <cell r="L64">
            <v>1179288.0004883159</v>
          </cell>
          <cell r="M64">
            <v>12749169.455571674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2020"/>
      <sheetName val="Proj Rev (2021)-1"/>
      <sheetName val="Proj Rev (2021)-2"/>
      <sheetName val="Proj Rev (2021)-3"/>
      <sheetName val="Proj Rev (2021)-4"/>
      <sheetName val="Proj Rev (2021)-5"/>
      <sheetName val="Proj Rev (2021)-6"/>
      <sheetName val="Proj Rev (2021)-7"/>
      <sheetName val="Summary"/>
      <sheetName val="Proj Rev (Actual plus 5%)"/>
      <sheetName val="Proj Rev (Average of 3 years)"/>
      <sheetName val="Proj Rev(3yr ave. @ 15 credits)"/>
      <sheetName val="2018"/>
      <sheetName val="2019"/>
      <sheetName val="StudentHealthReg(3YRS)"/>
      <sheetName val="Proj Exp Cons"/>
      <sheetName val="Projected Revenue - 2020"/>
      <sheetName val="Proj 2020(Credits)"/>
      <sheetName val="Sheet2"/>
      <sheetName val="Proj 2021"/>
      <sheetName val="Proj 2022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H24">
            <v>13359948.280000001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nstructional"/>
      <sheetName val="2017"/>
      <sheetName val="2015-2017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H6">
            <v>972991.26467399264</v>
          </cell>
        </row>
        <row r="7">
          <cell r="H7">
            <v>24836.084249084255</v>
          </cell>
        </row>
        <row r="8">
          <cell r="H8">
            <v>82401.119999999995</v>
          </cell>
        </row>
        <row r="9">
          <cell r="H9">
            <v>0</v>
          </cell>
        </row>
        <row r="10">
          <cell r="H10">
            <v>62461.821715384613</v>
          </cell>
        </row>
        <row r="11">
          <cell r="H11">
            <v>35617.35</v>
          </cell>
        </row>
        <row r="12">
          <cell r="H12">
            <v>2540.668996923077</v>
          </cell>
        </row>
        <row r="13">
          <cell r="H13">
            <v>10730.814230769232</v>
          </cell>
        </row>
        <row r="14">
          <cell r="H14">
            <v>115200</v>
          </cell>
        </row>
        <row r="17">
          <cell r="H17">
            <v>0</v>
          </cell>
        </row>
        <row r="18">
          <cell r="H18">
            <v>4500</v>
          </cell>
        </row>
        <row r="22">
          <cell r="H22">
            <v>10000</v>
          </cell>
        </row>
        <row r="25">
          <cell r="H25">
            <v>57000</v>
          </cell>
        </row>
        <row r="27">
          <cell r="H27">
            <v>12000</v>
          </cell>
        </row>
        <row r="28">
          <cell r="H28">
            <v>120171</v>
          </cell>
        </row>
        <row r="29">
          <cell r="H29">
            <v>10000</v>
          </cell>
        </row>
        <row r="30">
          <cell r="H30">
            <v>1000</v>
          </cell>
        </row>
        <row r="31">
          <cell r="H31">
            <v>500</v>
          </cell>
        </row>
        <row r="33">
          <cell r="H33">
            <v>500</v>
          </cell>
        </row>
        <row r="35">
          <cell r="H35">
            <v>0</v>
          </cell>
        </row>
        <row r="36">
          <cell r="H36">
            <v>40000</v>
          </cell>
        </row>
        <row r="39">
          <cell r="H39">
            <v>12500</v>
          </cell>
        </row>
        <row r="40">
          <cell r="H40">
            <v>6000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8000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/>
      <sheetData sheetId="1"/>
      <sheetData sheetId="2"/>
      <sheetData sheetId="3">
        <row r="6">
          <cell r="H6">
            <v>782836</v>
          </cell>
        </row>
        <row r="7">
          <cell r="H7">
            <v>9682.1153846153829</v>
          </cell>
        </row>
        <row r="8">
          <cell r="H8">
            <v>35023</v>
          </cell>
        </row>
        <row r="9">
          <cell r="H9">
            <v>0</v>
          </cell>
        </row>
        <row r="10">
          <cell r="H10">
            <v>60147.98365384616</v>
          </cell>
        </row>
        <row r="11">
          <cell r="H11">
            <v>36322</v>
          </cell>
        </row>
        <row r="12">
          <cell r="H12">
            <v>13340.305620000001</v>
          </cell>
        </row>
        <row r="13">
          <cell r="H13">
            <v>24884.689230769229</v>
          </cell>
        </row>
        <row r="14">
          <cell r="H14">
            <v>136800</v>
          </cell>
        </row>
        <row r="17">
          <cell r="H17">
            <v>3500</v>
          </cell>
        </row>
        <row r="18">
          <cell r="H18">
            <v>4500</v>
          </cell>
        </row>
        <row r="22">
          <cell r="H22">
            <v>10000</v>
          </cell>
        </row>
        <row r="25">
          <cell r="H25">
            <v>34500</v>
          </cell>
        </row>
        <row r="27">
          <cell r="H27">
            <v>15000</v>
          </cell>
        </row>
        <row r="28">
          <cell r="H28">
            <v>500</v>
          </cell>
        </row>
        <row r="29">
          <cell r="H29">
            <v>98660</v>
          </cell>
        </row>
        <row r="30">
          <cell r="H30">
            <v>19822</v>
          </cell>
        </row>
        <row r="31">
          <cell r="H31">
            <v>2500</v>
          </cell>
        </row>
        <row r="37">
          <cell r="H37">
            <v>38000</v>
          </cell>
        </row>
        <row r="40">
          <cell r="H40">
            <v>10000</v>
          </cell>
        </row>
        <row r="44">
          <cell r="H44">
            <v>2000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8600</v>
          </cell>
        </row>
        <row r="50">
          <cell r="H50">
            <v>2500</v>
          </cell>
        </row>
      </sheetData>
      <sheetData sheetId="4">
        <row r="8">
          <cell r="V8">
            <v>822571.25</v>
          </cell>
        </row>
      </sheetData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>
        <row r="6">
          <cell r="H6">
            <v>541309.80000000005</v>
          </cell>
        </row>
        <row r="7">
          <cell r="H7">
            <v>13377.11538461539</v>
          </cell>
        </row>
        <row r="8">
          <cell r="H8">
            <v>22929</v>
          </cell>
        </row>
        <row r="9">
          <cell r="H9">
            <v>0</v>
          </cell>
        </row>
        <row r="10">
          <cell r="H10">
            <v>40720.078269230769</v>
          </cell>
        </row>
        <row r="11">
          <cell r="H11">
            <v>13139.599999999999</v>
          </cell>
        </row>
        <row r="12">
          <cell r="H12">
            <v>2467.7703164800005</v>
          </cell>
        </row>
        <row r="13">
          <cell r="H13">
            <v>6521.7600861538467</v>
          </cell>
        </row>
        <row r="14">
          <cell r="H14">
            <v>50400</v>
          </cell>
        </row>
        <row r="17">
          <cell r="H17">
            <v>4000</v>
          </cell>
        </row>
        <row r="18">
          <cell r="H18">
            <v>4500</v>
          </cell>
        </row>
        <row r="22">
          <cell r="H22">
            <v>10000</v>
          </cell>
        </row>
        <row r="25">
          <cell r="H25">
            <v>18000</v>
          </cell>
        </row>
        <row r="29">
          <cell r="H29">
            <v>500</v>
          </cell>
        </row>
        <row r="30">
          <cell r="H30">
            <v>50000</v>
          </cell>
        </row>
        <row r="31">
          <cell r="H31">
            <v>6000</v>
          </cell>
        </row>
        <row r="32">
          <cell r="H32">
            <v>2500</v>
          </cell>
        </row>
        <row r="38">
          <cell r="H38">
            <v>18000</v>
          </cell>
        </row>
        <row r="41">
          <cell r="H41">
            <v>12500</v>
          </cell>
        </row>
        <row r="44">
          <cell r="H44">
            <v>2000</v>
          </cell>
        </row>
        <row r="49">
          <cell r="H49">
            <v>5500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>
        <row r="6">
          <cell r="H6">
            <v>398674</v>
          </cell>
        </row>
        <row r="7">
          <cell r="H7">
            <v>10855.846153846156</v>
          </cell>
        </row>
        <row r="8">
          <cell r="H8">
            <v>76286</v>
          </cell>
        </row>
        <row r="9">
          <cell r="H9">
            <v>12149</v>
          </cell>
        </row>
        <row r="10">
          <cell r="H10">
            <v>34174.748076923075</v>
          </cell>
        </row>
        <row r="11">
          <cell r="H11">
            <v>21938.110000000004</v>
          </cell>
        </row>
        <row r="12">
          <cell r="H12">
            <v>5506.1325799999995</v>
          </cell>
        </row>
        <row r="13">
          <cell r="H13">
            <v>13477.721538461537</v>
          </cell>
        </row>
        <row r="14">
          <cell r="H14">
            <v>43200</v>
          </cell>
        </row>
        <row r="22">
          <cell r="H22">
            <v>7200</v>
          </cell>
        </row>
        <row r="25">
          <cell r="H25">
            <v>14500</v>
          </cell>
        </row>
        <row r="27">
          <cell r="H27">
            <v>8000</v>
          </cell>
        </row>
        <row r="30">
          <cell r="H30">
            <v>75437</v>
          </cell>
        </row>
        <row r="31">
          <cell r="H31">
            <v>1900</v>
          </cell>
        </row>
        <row r="35">
          <cell r="H35">
            <v>0</v>
          </cell>
        </row>
        <row r="38">
          <cell r="H38">
            <v>9250</v>
          </cell>
        </row>
        <row r="41">
          <cell r="H41">
            <v>15000</v>
          </cell>
        </row>
      </sheetData>
      <sheetData sheetId="4">
        <row r="19">
          <cell r="Z19">
            <v>4000</v>
          </cell>
        </row>
      </sheetData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-IEQA"/>
      <sheetName val="2015-2017-IEQA "/>
      <sheetName val="administration"/>
      <sheetName val="student services"/>
    </sheetNames>
    <sheetDataSet>
      <sheetData sheetId="0"/>
      <sheetData sheetId="1"/>
      <sheetData sheetId="2"/>
      <sheetData sheetId="3">
        <row r="6">
          <cell r="D6">
            <v>47630</v>
          </cell>
          <cell r="E6">
            <v>64216.9649752728</v>
          </cell>
          <cell r="F6">
            <v>125023.14416633506</v>
          </cell>
        </row>
        <row r="7">
          <cell r="D7">
            <v>1620.6923076923122</v>
          </cell>
          <cell r="E7">
            <v>818.18078825169505</v>
          </cell>
          <cell r="F7">
            <v>3534.9026619539964</v>
          </cell>
        </row>
        <row r="8">
          <cell r="D8">
            <v>35297</v>
          </cell>
          <cell r="F8">
            <v>27595</v>
          </cell>
        </row>
        <row r="9">
          <cell r="D9">
            <v>4200</v>
          </cell>
          <cell r="E9">
            <v>4197.7032399566451</v>
          </cell>
          <cell r="F9">
            <v>10730.506078409669</v>
          </cell>
        </row>
        <row r="10">
          <cell r="D10">
            <v>752.96</v>
          </cell>
          <cell r="E10">
            <v>2771.6000000000004</v>
          </cell>
          <cell r="F10">
            <v>7287.7999999999984</v>
          </cell>
        </row>
        <row r="11">
          <cell r="D11">
            <v>1224.2634991049176</v>
          </cell>
          <cell r="E11">
            <v>1285.0944802872441</v>
          </cell>
          <cell r="F11">
            <v>1390.8018397861852</v>
          </cell>
        </row>
        <row r="12">
          <cell r="E12">
            <v>1951.0543729057347</v>
          </cell>
          <cell r="F12">
            <v>4684.591404848672</v>
          </cell>
        </row>
        <row r="13">
          <cell r="D13">
            <v>14400</v>
          </cell>
          <cell r="E13">
            <v>7200</v>
          </cell>
          <cell r="F13">
            <v>21600</v>
          </cell>
        </row>
        <row r="16">
          <cell r="D16">
            <v>18500</v>
          </cell>
          <cell r="E16">
            <v>5000</v>
          </cell>
          <cell r="F16">
            <v>5000</v>
          </cell>
        </row>
        <row r="17">
          <cell r="D17">
            <v>22000</v>
          </cell>
          <cell r="E17">
            <v>4000</v>
          </cell>
          <cell r="F17">
            <v>10000</v>
          </cell>
        </row>
        <row r="20">
          <cell r="E20">
            <v>24000</v>
          </cell>
          <cell r="F20">
            <v>10000</v>
          </cell>
        </row>
        <row r="23">
          <cell r="D23">
            <v>1000</v>
          </cell>
          <cell r="E23">
            <v>4000</v>
          </cell>
          <cell r="F23">
            <v>10000</v>
          </cell>
        </row>
        <row r="24">
          <cell r="D24">
            <v>1000</v>
          </cell>
          <cell r="F24">
            <v>1000</v>
          </cell>
        </row>
        <row r="25">
          <cell r="E25">
            <v>900</v>
          </cell>
        </row>
        <row r="26">
          <cell r="F26">
            <v>350000</v>
          </cell>
        </row>
        <row r="27">
          <cell r="D27">
            <v>100000</v>
          </cell>
        </row>
        <row r="28">
          <cell r="D28">
            <v>500</v>
          </cell>
          <cell r="E28">
            <v>850</v>
          </cell>
          <cell r="F28">
            <v>15580</v>
          </cell>
        </row>
        <row r="29">
          <cell r="F29">
            <v>18800</v>
          </cell>
        </row>
        <row r="32">
          <cell r="F32">
            <v>200000</v>
          </cell>
        </row>
        <row r="35">
          <cell r="D35">
            <v>248124.91580679722</v>
          </cell>
          <cell r="G35">
            <v>1191542.2598148049</v>
          </cell>
        </row>
      </sheetData>
      <sheetData sheetId="4">
        <row r="8">
          <cell r="V8">
            <v>207261.7659</v>
          </cell>
        </row>
      </sheetData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eqa"/>
      <sheetName val="administration"/>
      <sheetName val="2017"/>
      <sheetName val="2015-2017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108031</v>
          </cell>
          <cell r="E6">
            <v>155990</v>
          </cell>
          <cell r="F6">
            <v>201288</v>
          </cell>
          <cell r="G6">
            <v>183793</v>
          </cell>
          <cell r="H6">
            <v>447868.68800000002</v>
          </cell>
          <cell r="I6">
            <v>251561.56707604165</v>
          </cell>
          <cell r="J6">
            <v>121573.56826095356</v>
          </cell>
          <cell r="L6">
            <v>188684</v>
          </cell>
        </row>
        <row r="7">
          <cell r="D7">
            <v>4525</v>
          </cell>
          <cell r="E7">
            <v>5114.5769230769365</v>
          </cell>
          <cell r="F7">
            <v>1886.2656242749672</v>
          </cell>
          <cell r="G7">
            <v>5946.5</v>
          </cell>
          <cell r="H7">
            <v>7558.3119999999763</v>
          </cell>
          <cell r="I7">
            <v>5428.9576058418152</v>
          </cell>
          <cell r="J7">
            <v>2997.4012207325577</v>
          </cell>
          <cell r="L7">
            <v>467.33076923076624</v>
          </cell>
        </row>
        <row r="8">
          <cell r="D8">
            <v>20584</v>
          </cell>
          <cell r="E8">
            <v>17819</v>
          </cell>
          <cell r="F8">
            <v>18728</v>
          </cell>
          <cell r="G8">
            <v>18694</v>
          </cell>
          <cell r="H8">
            <v>19880</v>
          </cell>
          <cell r="I8">
            <v>30840.576923076922</v>
          </cell>
          <cell r="L8">
            <v>6565</v>
          </cell>
        </row>
        <row r="9">
          <cell r="D9">
            <v>52192.575000000004</v>
          </cell>
          <cell r="E9">
            <v>10627.690384615384</v>
          </cell>
          <cell r="F9">
            <v>15293.719921820624</v>
          </cell>
          <cell r="G9">
            <v>14364.975</v>
          </cell>
          <cell r="H9">
            <v>28943</v>
          </cell>
          <cell r="I9">
            <v>21374.289351141255</v>
          </cell>
          <cell r="J9">
            <v>9003.9</v>
          </cell>
          <cell r="L9">
            <v>14678.724807692308</v>
          </cell>
        </row>
        <row r="10">
          <cell r="D10">
            <v>3186.8</v>
          </cell>
          <cell r="E10">
            <v>5582.24</v>
          </cell>
          <cell r="F10">
            <v>4930.38</v>
          </cell>
          <cell r="G10">
            <v>2132</v>
          </cell>
          <cell r="H10">
            <v>11458</v>
          </cell>
          <cell r="I10">
            <v>4243.46</v>
          </cell>
          <cell r="J10">
            <v>1906.8400000000001</v>
          </cell>
          <cell r="L10">
            <v>9627</v>
          </cell>
        </row>
        <row r="11">
          <cell r="D11">
            <v>1282.37824</v>
          </cell>
          <cell r="E11">
            <v>2576.2915800000001</v>
          </cell>
          <cell r="F11">
            <v>3304.86</v>
          </cell>
          <cell r="G11">
            <v>3784.6920799999998</v>
          </cell>
          <cell r="H11">
            <v>3534</v>
          </cell>
          <cell r="I11">
            <v>3678.7224604769176</v>
          </cell>
          <cell r="J11">
            <v>2059.7491199999999</v>
          </cell>
          <cell r="L11">
            <v>3867.3546960000003</v>
          </cell>
        </row>
        <row r="12">
          <cell r="D12">
            <v>3994.2000000000003</v>
          </cell>
          <cell r="E12">
            <v>4794.5873076923071</v>
          </cell>
          <cell r="F12">
            <v>6657.0679687282491</v>
          </cell>
          <cell r="G12">
            <v>5745.99</v>
          </cell>
          <cell r="H12">
            <v>10096</v>
          </cell>
          <cell r="I12">
            <v>7709.7157404565023</v>
          </cell>
          <cell r="J12">
            <v>3833.2799999999997</v>
          </cell>
          <cell r="L12">
            <v>5871.4899230769233</v>
          </cell>
        </row>
        <row r="13">
          <cell r="D13">
            <v>14400</v>
          </cell>
          <cell r="E13">
            <v>21600</v>
          </cell>
          <cell r="F13">
            <v>14400</v>
          </cell>
          <cell r="G13">
            <v>43200</v>
          </cell>
          <cell r="H13">
            <v>64800</v>
          </cell>
          <cell r="I13">
            <v>57600</v>
          </cell>
          <cell r="J13">
            <v>21600</v>
          </cell>
          <cell r="L13">
            <v>7200</v>
          </cell>
        </row>
        <row r="14">
          <cell r="J14">
            <v>2000</v>
          </cell>
        </row>
        <row r="15">
          <cell r="D15">
            <v>645000</v>
          </cell>
        </row>
        <row r="18">
          <cell r="D18">
            <v>15000</v>
          </cell>
          <cell r="E18">
            <v>10000</v>
          </cell>
          <cell r="G18">
            <v>5000</v>
          </cell>
          <cell r="L18">
            <v>10000</v>
          </cell>
        </row>
        <row r="19">
          <cell r="D19">
            <v>45000</v>
          </cell>
          <cell r="F19">
            <v>15852</v>
          </cell>
          <cell r="J19">
            <v>5000</v>
          </cell>
        </row>
        <row r="22">
          <cell r="D22">
            <v>10000</v>
          </cell>
          <cell r="L22">
            <v>3000</v>
          </cell>
        </row>
        <row r="25">
          <cell r="D25">
            <v>6000</v>
          </cell>
          <cell r="E25">
            <v>5000</v>
          </cell>
          <cell r="F25">
            <v>10000</v>
          </cell>
          <cell r="G25">
            <v>8500</v>
          </cell>
          <cell r="H25">
            <v>30000</v>
          </cell>
          <cell r="I25">
            <v>7200</v>
          </cell>
          <cell r="J25">
            <v>8000</v>
          </cell>
          <cell r="L25">
            <v>5000</v>
          </cell>
        </row>
        <row r="26">
          <cell r="D26">
            <v>3000</v>
          </cell>
          <cell r="J26">
            <v>500</v>
          </cell>
        </row>
        <row r="27">
          <cell r="D27">
            <v>6000</v>
          </cell>
          <cell r="E27">
            <v>1500</v>
          </cell>
          <cell r="F27">
            <v>1500</v>
          </cell>
          <cell r="I27">
            <v>2500</v>
          </cell>
          <cell r="J27">
            <v>100</v>
          </cell>
          <cell r="L27">
            <v>45000</v>
          </cell>
        </row>
        <row r="28">
          <cell r="L28">
            <v>500</v>
          </cell>
        </row>
        <row r="29">
          <cell r="D29">
            <v>5000</v>
          </cell>
        </row>
        <row r="30">
          <cell r="J30">
            <v>0</v>
          </cell>
        </row>
        <row r="31">
          <cell r="D31">
            <v>17000</v>
          </cell>
        </row>
        <row r="32">
          <cell r="D32">
            <v>1000</v>
          </cell>
          <cell r="F32">
            <v>500</v>
          </cell>
          <cell r="G32">
            <v>1000</v>
          </cell>
        </row>
        <row r="33">
          <cell r="E33">
            <v>500</v>
          </cell>
          <cell r="J33">
            <v>750</v>
          </cell>
        </row>
        <row r="34">
          <cell r="L34">
            <v>500</v>
          </cell>
        </row>
        <row r="35">
          <cell r="D35">
            <v>1000</v>
          </cell>
          <cell r="E35">
            <v>500</v>
          </cell>
          <cell r="F35">
            <v>1500</v>
          </cell>
          <cell r="G35">
            <v>1000</v>
          </cell>
          <cell r="J35">
            <v>1000</v>
          </cell>
          <cell r="L35">
            <v>3000</v>
          </cell>
        </row>
        <row r="36">
          <cell r="D36">
            <v>1000</v>
          </cell>
        </row>
        <row r="37">
          <cell r="D37">
            <v>2000</v>
          </cell>
        </row>
        <row r="38">
          <cell r="J38">
            <v>750</v>
          </cell>
        </row>
        <row r="39">
          <cell r="D39">
            <v>15000</v>
          </cell>
        </row>
        <row r="40">
          <cell r="D40">
            <v>1000</v>
          </cell>
          <cell r="J40">
            <v>1500</v>
          </cell>
        </row>
        <row r="43">
          <cell r="D43">
            <v>1000</v>
          </cell>
          <cell r="E43">
            <v>2000</v>
          </cell>
          <cell r="G43">
            <v>5000</v>
          </cell>
          <cell r="H43">
            <v>5000</v>
          </cell>
          <cell r="I43">
            <v>3500</v>
          </cell>
          <cell r="J43">
            <v>5000</v>
          </cell>
        </row>
        <row r="44">
          <cell r="H44">
            <v>0</v>
          </cell>
        </row>
        <row r="45">
          <cell r="E45">
            <v>700</v>
          </cell>
        </row>
        <row r="48">
          <cell r="M48">
            <v>3347862.7179849297</v>
          </cell>
        </row>
      </sheetData>
      <sheetData sheetId="6">
        <row r="8">
          <cell r="BF8">
            <v>1784960.0322749999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>
        <row r="6">
          <cell r="D6">
            <v>93777.846091119776</v>
          </cell>
          <cell r="E6">
            <v>61626.905362685691</v>
          </cell>
          <cell r="F6">
            <v>136077.39320839624</v>
          </cell>
          <cell r="G6">
            <v>335187.57999999996</v>
          </cell>
        </row>
        <row r="7">
          <cell r="D7">
            <v>2220.2219055538881</v>
          </cell>
          <cell r="E7">
            <v>1139</v>
          </cell>
          <cell r="F7">
            <v>3305.0015219229954</v>
          </cell>
          <cell r="G7">
            <v>8881.3461538461852</v>
          </cell>
        </row>
        <row r="8">
          <cell r="E8">
            <v>22340</v>
          </cell>
          <cell r="F8">
            <v>16428</v>
          </cell>
          <cell r="G8">
            <v>10950</v>
          </cell>
        </row>
        <row r="9">
          <cell r="D9">
            <v>5621.55</v>
          </cell>
          <cell r="E9">
            <v>5694.5179022014263</v>
          </cell>
          <cell r="F9">
            <v>11345.056526542216</v>
          </cell>
          <cell r="G9">
            <v>25634.169461538451</v>
          </cell>
        </row>
        <row r="10">
          <cell r="D10">
            <v>4158</v>
          </cell>
          <cell r="E10">
            <v>2456.7399999999998</v>
          </cell>
          <cell r="F10">
            <v>5904</v>
          </cell>
          <cell r="G10">
            <v>18741.579999999994</v>
          </cell>
        </row>
        <row r="11">
          <cell r="D11">
            <v>1409</v>
          </cell>
          <cell r="E11">
            <v>1371.9071944464931</v>
          </cell>
          <cell r="F11">
            <v>3078.8133998711087</v>
          </cell>
          <cell r="G11">
            <v>5722.9050895999981</v>
          </cell>
        </row>
        <row r="12">
          <cell r="D12">
            <v>2741.02</v>
          </cell>
          <cell r="E12">
            <v>2553.1771608805702</v>
          </cell>
          <cell r="F12">
            <v>4674.3118419095772</v>
          </cell>
          <cell r="G12">
            <v>10704.988938461542</v>
          </cell>
        </row>
        <row r="13">
          <cell r="E13">
            <v>7200</v>
          </cell>
          <cell r="F13">
            <v>21600</v>
          </cell>
        </row>
        <row r="16">
          <cell r="F16">
            <v>10000</v>
          </cell>
        </row>
        <row r="17">
          <cell r="G17">
            <v>7000</v>
          </cell>
        </row>
        <row r="20">
          <cell r="E20">
            <v>6000</v>
          </cell>
          <cell r="F20">
            <v>131739</v>
          </cell>
        </row>
        <row r="21">
          <cell r="G21">
            <v>76000</v>
          </cell>
        </row>
        <row r="24">
          <cell r="D24">
            <v>4000</v>
          </cell>
          <cell r="E24">
            <v>10000</v>
          </cell>
          <cell r="F24">
            <v>12000</v>
          </cell>
          <cell r="G24">
            <v>54000</v>
          </cell>
        </row>
        <row r="25">
          <cell r="F25">
            <v>5000</v>
          </cell>
        </row>
        <row r="27">
          <cell r="G27">
            <v>438862.44</v>
          </cell>
        </row>
        <row r="28">
          <cell r="G28">
            <v>60000</v>
          </cell>
        </row>
        <row r="29">
          <cell r="D29">
            <v>2000</v>
          </cell>
          <cell r="F29">
            <v>1500</v>
          </cell>
        </row>
        <row r="30">
          <cell r="E30">
            <v>10000</v>
          </cell>
        </row>
        <row r="32">
          <cell r="D32">
            <v>34000</v>
          </cell>
        </row>
        <row r="33">
          <cell r="F33">
            <v>3800</v>
          </cell>
        </row>
        <row r="34">
          <cell r="E34">
            <v>25000</v>
          </cell>
          <cell r="G34">
            <v>0</v>
          </cell>
        </row>
        <row r="35">
          <cell r="G35">
            <v>220000</v>
          </cell>
        </row>
        <row r="37">
          <cell r="D37">
            <v>6350</v>
          </cell>
        </row>
        <row r="41">
          <cell r="G41">
            <v>46000</v>
          </cell>
        </row>
        <row r="46">
          <cell r="H46">
            <v>2097996.4717589761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eqa"/>
      <sheetName val="administration"/>
      <sheetName val="2017"/>
      <sheetName val="2015-2017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59117</v>
          </cell>
          <cell r="E6">
            <v>85051.197558935077</v>
          </cell>
          <cell r="F6">
            <v>115617</v>
          </cell>
          <cell r="G6">
            <v>57422.447960306265</v>
          </cell>
          <cell r="H6">
            <v>48954</v>
          </cell>
          <cell r="I6">
            <v>21635</v>
          </cell>
          <cell r="K6">
            <v>66577</v>
          </cell>
        </row>
        <row r="7">
          <cell r="D7">
            <v>2635</v>
          </cell>
          <cell r="E7">
            <v>1905.5099455983873</v>
          </cell>
          <cell r="F7">
            <v>1189.3461538461561</v>
          </cell>
          <cell r="G7">
            <v>286.01392706519982</v>
          </cell>
          <cell r="H7">
            <v>865.84615384615608</v>
          </cell>
          <cell r="J7">
            <v>1539</v>
          </cell>
          <cell r="K7">
            <v>1951.1538461538439</v>
          </cell>
        </row>
        <row r="8">
          <cell r="J8">
            <v>30168</v>
          </cell>
        </row>
        <row r="9">
          <cell r="D9">
            <v>3246.3</v>
          </cell>
          <cell r="E9">
            <v>6243.7280628400104</v>
          </cell>
          <cell r="F9">
            <v>8482.4509615384613</v>
          </cell>
          <cell r="G9">
            <v>4328.1346415528606</v>
          </cell>
          <cell r="H9">
            <v>3736.4884615384613</v>
          </cell>
          <cell r="I9">
            <v>1622.625</v>
          </cell>
          <cell r="J9">
            <v>2100</v>
          </cell>
          <cell r="K9">
            <v>5139.6115384615377</v>
          </cell>
        </row>
        <row r="10">
          <cell r="D10">
            <v>1092</v>
          </cell>
          <cell r="E10">
            <v>2496</v>
          </cell>
          <cell r="F10">
            <v>3531</v>
          </cell>
          <cell r="G10">
            <v>2267.98</v>
          </cell>
          <cell r="H10">
            <v>2010.06</v>
          </cell>
          <cell r="I10">
            <v>1114.8800000000001</v>
          </cell>
          <cell r="J10">
            <v>226.72000000000003</v>
          </cell>
          <cell r="K10">
            <v>3094</v>
          </cell>
        </row>
        <row r="11">
          <cell r="D11">
            <v>1220.2195200000001</v>
          </cell>
          <cell r="E11">
            <v>1668.8645402895816</v>
          </cell>
          <cell r="F11">
            <v>2248.8134000000005</v>
          </cell>
          <cell r="G11">
            <v>1140.3192068944602</v>
          </cell>
          <cell r="H11">
            <v>617.88145999999995</v>
          </cell>
          <cell r="I11">
            <v>427.50760000000008</v>
          </cell>
          <cell r="J11">
            <v>511.11683999999997</v>
          </cell>
          <cell r="K11">
            <v>1176.2763199999999</v>
          </cell>
        </row>
        <row r="12">
          <cell r="D12">
            <v>1852.56</v>
          </cell>
          <cell r="E12">
            <v>2533.7012251360038</v>
          </cell>
          <cell r="F12">
            <v>3414.1903846153846</v>
          </cell>
          <cell r="G12">
            <v>1731.2538566211442</v>
          </cell>
          <cell r="H12">
            <v>1149.9034615384614</v>
          </cell>
          <cell r="I12">
            <v>649.04999999999995</v>
          </cell>
          <cell r="J12">
            <v>951.20999999999992</v>
          </cell>
          <cell r="K12">
            <v>1792.6384615384616</v>
          </cell>
        </row>
        <row r="13">
          <cell r="D13">
            <v>7200</v>
          </cell>
          <cell r="E13">
            <v>7200</v>
          </cell>
          <cell r="F13">
            <v>7200</v>
          </cell>
          <cell r="I13">
            <v>7200</v>
          </cell>
          <cell r="J13">
            <v>7200</v>
          </cell>
          <cell r="K13">
            <v>7200</v>
          </cell>
        </row>
        <row r="14">
          <cell r="G14">
            <v>60000</v>
          </cell>
        </row>
        <row r="17">
          <cell r="D17">
            <v>12000</v>
          </cell>
          <cell r="F17">
            <v>0</v>
          </cell>
          <cell r="I17">
            <v>0</v>
          </cell>
        </row>
        <row r="18">
          <cell r="F18">
            <v>0</v>
          </cell>
        </row>
        <row r="21">
          <cell r="D21">
            <v>25000</v>
          </cell>
          <cell r="J21">
            <v>0</v>
          </cell>
          <cell r="K21">
            <v>29000</v>
          </cell>
        </row>
        <row r="24">
          <cell r="D24">
            <v>3500</v>
          </cell>
          <cell r="E24">
            <v>10000</v>
          </cell>
          <cell r="F24">
            <v>4000</v>
          </cell>
          <cell r="G24">
            <v>1500</v>
          </cell>
          <cell r="H24">
            <v>12500</v>
          </cell>
          <cell r="I24">
            <v>500</v>
          </cell>
          <cell r="J24">
            <v>1000</v>
          </cell>
          <cell r="K24">
            <v>25500</v>
          </cell>
        </row>
        <row r="25">
          <cell r="D25">
            <v>83628</v>
          </cell>
        </row>
        <row r="26">
          <cell r="D26">
            <v>3000</v>
          </cell>
          <cell r="F26">
            <v>2500</v>
          </cell>
          <cell r="G26">
            <v>0</v>
          </cell>
          <cell r="J26">
            <v>1000</v>
          </cell>
        </row>
        <row r="27">
          <cell r="G27">
            <v>17000</v>
          </cell>
        </row>
        <row r="28">
          <cell r="E28">
            <v>1000</v>
          </cell>
          <cell r="F28">
            <v>1500</v>
          </cell>
          <cell r="I28">
            <v>500</v>
          </cell>
        </row>
        <row r="29">
          <cell r="K29">
            <v>3000</v>
          </cell>
        </row>
        <row r="30">
          <cell r="E30">
            <v>15000</v>
          </cell>
          <cell r="I30">
            <v>0</v>
          </cell>
        </row>
        <row r="32">
          <cell r="E32">
            <v>1000</v>
          </cell>
          <cell r="F32">
            <v>3000</v>
          </cell>
          <cell r="G32">
            <v>1000</v>
          </cell>
          <cell r="I32">
            <v>225</v>
          </cell>
        </row>
        <row r="33">
          <cell r="D33">
            <v>111504</v>
          </cell>
        </row>
        <row r="34">
          <cell r="D34">
            <v>15000</v>
          </cell>
        </row>
        <row r="35">
          <cell r="D35">
            <v>65000</v>
          </cell>
        </row>
        <row r="36">
          <cell r="D36">
            <v>7000</v>
          </cell>
        </row>
        <row r="37">
          <cell r="D37">
            <v>1000</v>
          </cell>
          <cell r="G37">
            <v>2000</v>
          </cell>
        </row>
        <row r="40">
          <cell r="F40">
            <v>13000</v>
          </cell>
          <cell r="K40">
            <v>3000</v>
          </cell>
        </row>
        <row r="41">
          <cell r="G41">
            <v>3000</v>
          </cell>
          <cell r="K41">
            <v>5000</v>
          </cell>
        </row>
        <row r="44">
          <cell r="J44">
            <v>44696.046840000003</v>
          </cell>
          <cell r="K44">
            <v>152430.68016615385</v>
          </cell>
        </row>
      </sheetData>
      <sheetData sheetId="6">
        <row r="8">
          <cell r="AZ8">
            <v>450724.45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">
          <cell r="C24">
            <v>-298662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(2017)"/>
      <sheetName val="exp line dept (2015-2017)"/>
      <sheetName val="exp line dept(2016)"/>
      <sheetName val="exp_line office"/>
      <sheetName val="Proj Rev "/>
      <sheetName val="Summer Rev &amp; Exp"/>
    </sheetNames>
    <sheetDataSet>
      <sheetData sheetId="0"/>
      <sheetData sheetId="1"/>
      <sheetData sheetId="2"/>
      <sheetData sheetId="3">
        <row r="21">
          <cell r="AB21">
            <v>18599</v>
          </cell>
        </row>
        <row r="63">
          <cell r="C63">
            <v>530961.31086493505</v>
          </cell>
          <cell r="E63">
            <v>120791.16869861732</v>
          </cell>
          <cell r="G63">
            <v>1681004.1723584614</v>
          </cell>
          <cell r="H63">
            <v>1455482.0938892309</v>
          </cell>
          <cell r="I63">
            <v>837105.14136417233</v>
          </cell>
          <cell r="K63">
            <v>4738639.9659610959</v>
          </cell>
          <cell r="R63">
            <v>982195.95323999994</v>
          </cell>
          <cell r="S63">
            <v>244804.38619538461</v>
          </cell>
          <cell r="Z63">
            <v>3339812.7179849297</v>
          </cell>
          <cell r="AH63">
            <v>422995.07952000003</v>
          </cell>
          <cell r="AI63">
            <v>135599.00133279903</v>
          </cell>
          <cell r="AJ63">
            <v>164182.8009</v>
          </cell>
          <cell r="AK63">
            <v>151676.14959243994</v>
          </cell>
          <cell r="AL63">
            <v>70334.179536923068</v>
          </cell>
          <cell r="AM63">
            <v>37374.062600000005</v>
          </cell>
          <cell r="AP63">
            <v>1179288.0004883159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1">
          <cell r="C21">
            <v>-629638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C20">
            <v>-396138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7">
          <cell r="C27">
            <v>-187575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8">
          <cell r="C28">
            <v>-304460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J44" sqref="J44:L47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24" t="s">
        <v>103</v>
      </c>
      <c r="D11" s="325"/>
      <c r="E11" s="326"/>
      <c r="F11" s="324" t="s">
        <v>104</v>
      </c>
      <c r="G11" s="325"/>
      <c r="H11" s="326"/>
      <c r="I11" s="324" t="s">
        <v>105</v>
      </c>
      <c r="J11" s="325"/>
      <c r="K11" s="326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3427489.8417375004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111251.5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333465.36453525693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3872206.7062727571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7768206.7062727567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27" t="s">
        <v>119</v>
      </c>
      <c r="J31" s="328"/>
      <c r="K31" s="328"/>
      <c r="L31" s="328"/>
      <c r="M31" s="329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977.68000000000006</v>
      </c>
      <c r="D33" s="61">
        <f t="shared" ref="D33:E37" si="3">+K33*1.01</f>
        <v>855.47</v>
      </c>
      <c r="E33" s="61">
        <f t="shared" si="3"/>
        <v>391.88</v>
      </c>
      <c r="F33" s="61">
        <f>SUM(C33:E33)</f>
        <v>2225.0300000000002</v>
      </c>
      <c r="G33" s="71"/>
      <c r="I33" s="70" t="s">
        <v>124</v>
      </c>
      <c r="J33" s="61">
        <v>968</v>
      </c>
      <c r="K33" s="61">
        <v>847</v>
      </c>
      <c r="L33" s="61">
        <v>388</v>
      </c>
      <c r="M33" s="61">
        <f>SUM(J33:L33)</f>
        <v>2203</v>
      </c>
    </row>
    <row r="34" spans="1:14" x14ac:dyDescent="0.25">
      <c r="A34" s="69"/>
      <c r="B34" s="70" t="s">
        <v>48</v>
      </c>
      <c r="C34" s="61">
        <f t="shared" ref="C34:C37" si="4">+J34*1.01</f>
        <v>0</v>
      </c>
      <c r="D34" s="61">
        <f t="shared" si="3"/>
        <v>0</v>
      </c>
      <c r="E34" s="61">
        <f t="shared" si="3"/>
        <v>0</v>
      </c>
      <c r="F34" s="61">
        <f t="shared" ref="F34:F37" si="5">SUM(C34:E34)</f>
        <v>0</v>
      </c>
      <c r="G34" s="71"/>
      <c r="I34" s="70" t="s">
        <v>48</v>
      </c>
      <c r="J34" s="61"/>
      <c r="K34" s="61"/>
      <c r="L34" s="61"/>
      <c r="M34" s="61">
        <f t="shared" ref="M34:M37" si="6">SUM(J34:L34)</f>
        <v>0</v>
      </c>
    </row>
    <row r="35" spans="1:14" s="72" customFormat="1" x14ac:dyDescent="0.25">
      <c r="A35" s="69"/>
      <c r="B35" s="70" t="s">
        <v>49</v>
      </c>
      <c r="C35" s="61">
        <f t="shared" si="4"/>
        <v>0</v>
      </c>
      <c r="D35" s="61">
        <f t="shared" si="3"/>
        <v>0</v>
      </c>
      <c r="E35" s="61">
        <f t="shared" si="3"/>
        <v>0</v>
      </c>
      <c r="F35" s="61">
        <f t="shared" si="5"/>
        <v>0</v>
      </c>
      <c r="I35" s="70" t="s">
        <v>49</v>
      </c>
      <c r="J35" s="61"/>
      <c r="K35" s="61"/>
      <c r="L35" s="61"/>
      <c r="M35" s="61">
        <f t="shared" si="6"/>
        <v>0</v>
      </c>
    </row>
    <row r="36" spans="1:14" x14ac:dyDescent="0.25">
      <c r="A36" s="69"/>
      <c r="B36" s="70" t="s">
        <v>50</v>
      </c>
      <c r="C36" s="61">
        <f t="shared" si="4"/>
        <v>0</v>
      </c>
      <c r="D36" s="61">
        <f t="shared" si="3"/>
        <v>0</v>
      </c>
      <c r="E36" s="61">
        <f t="shared" si="3"/>
        <v>0</v>
      </c>
      <c r="F36" s="61">
        <f t="shared" si="5"/>
        <v>0</v>
      </c>
      <c r="G36" s="71"/>
      <c r="I36" s="70" t="s">
        <v>50</v>
      </c>
      <c r="J36" s="61"/>
      <c r="K36" s="61"/>
      <c r="L36" s="61"/>
      <c r="M36" s="61">
        <f t="shared" si="6"/>
        <v>0</v>
      </c>
    </row>
    <row r="37" spans="1:14" x14ac:dyDescent="0.25">
      <c r="A37" s="69"/>
      <c r="B37" s="70" t="s">
        <v>51</v>
      </c>
      <c r="C37" s="61">
        <f t="shared" si="4"/>
        <v>0</v>
      </c>
      <c r="D37" s="61">
        <f t="shared" si="3"/>
        <v>0</v>
      </c>
      <c r="E37" s="61">
        <f t="shared" si="3"/>
        <v>0</v>
      </c>
      <c r="F37" s="61">
        <f t="shared" si="5"/>
        <v>0</v>
      </c>
      <c r="I37" s="70" t="s">
        <v>51</v>
      </c>
      <c r="J37" s="61"/>
      <c r="K37" s="61"/>
      <c r="L37" s="61"/>
      <c r="M37" s="61">
        <f t="shared" si="6"/>
        <v>0</v>
      </c>
    </row>
    <row r="38" spans="1:14" x14ac:dyDescent="0.25">
      <c r="A38" s="69"/>
      <c r="B38" s="73" t="s">
        <v>79</v>
      </c>
      <c r="C38" s="74">
        <f>SUM(C33:C37)</f>
        <v>977.68000000000006</v>
      </c>
      <c r="D38" s="74">
        <f>SUM(D33:D37)</f>
        <v>855.47</v>
      </c>
      <c r="E38" s="74">
        <f>SUM(E33:E37)</f>
        <v>391.88</v>
      </c>
      <c r="F38" s="74">
        <f>SUM(F33:F37)</f>
        <v>2225.0300000000002</v>
      </c>
      <c r="I38" s="73" t="s">
        <v>79</v>
      </c>
      <c r="J38" s="74">
        <f>SUM(J33:J37)</f>
        <v>968</v>
      </c>
      <c r="K38" s="74">
        <f>SUM(K33:K37)</f>
        <v>847</v>
      </c>
      <c r="L38" s="74">
        <f>SUM(L33:L37)</f>
        <v>388</v>
      </c>
      <c r="M38" s="74">
        <f>SUM(M33:M37)</f>
        <v>2203</v>
      </c>
      <c r="N38" s="57">
        <f>+F38-M38</f>
        <v>22.0300000000002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27" t="s">
        <v>119</v>
      </c>
      <c r="J41" s="328"/>
      <c r="K41" s="328"/>
      <c r="L41" s="328"/>
      <c r="M41" s="329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13.750000000000002</v>
      </c>
      <c r="D43" s="75">
        <f t="shared" ref="D43:E47" si="7">+K43*1.1</f>
        <v>13.750000000000002</v>
      </c>
      <c r="E43" s="75">
        <f t="shared" si="7"/>
        <v>5.7200000000000006</v>
      </c>
      <c r="I43" s="70" t="s">
        <v>124</v>
      </c>
      <c r="J43" s="75">
        <v>12.5</v>
      </c>
      <c r="K43" s="75">
        <v>12.5</v>
      </c>
      <c r="L43" s="75">
        <v>5.2</v>
      </c>
    </row>
    <row r="44" spans="1:14" x14ac:dyDescent="0.25">
      <c r="A44" s="69"/>
      <c r="B44" s="70" t="s">
        <v>48</v>
      </c>
      <c r="C44" s="75">
        <f t="shared" ref="C44:C47" si="8">+J44*1.1</f>
        <v>0</v>
      </c>
      <c r="D44" s="75">
        <f t="shared" si="7"/>
        <v>0</v>
      </c>
      <c r="E44" s="75">
        <f t="shared" si="7"/>
        <v>0</v>
      </c>
      <c r="I44" s="70" t="s">
        <v>48</v>
      </c>
      <c r="J44" s="75"/>
      <c r="K44" s="75"/>
      <c r="L44" s="75"/>
    </row>
    <row r="45" spans="1:14" x14ac:dyDescent="0.25">
      <c r="A45" s="69"/>
      <c r="B45" s="70" t="s">
        <v>49</v>
      </c>
      <c r="C45" s="75">
        <f t="shared" si="8"/>
        <v>0</v>
      </c>
      <c r="D45" s="75">
        <f t="shared" si="7"/>
        <v>0</v>
      </c>
      <c r="E45" s="75">
        <f t="shared" si="7"/>
        <v>0</v>
      </c>
      <c r="I45" s="70" t="s">
        <v>49</v>
      </c>
      <c r="J45" s="75"/>
      <c r="K45" s="75"/>
      <c r="L45" s="75"/>
    </row>
    <row r="46" spans="1:14" x14ac:dyDescent="0.25">
      <c r="A46" s="69"/>
      <c r="B46" s="70" t="s">
        <v>50</v>
      </c>
      <c r="C46" s="75">
        <f t="shared" si="8"/>
        <v>0</v>
      </c>
      <c r="D46" s="75">
        <f t="shared" si="7"/>
        <v>0</v>
      </c>
      <c r="E46" s="75">
        <f t="shared" si="7"/>
        <v>0</v>
      </c>
      <c r="F46" s="76"/>
      <c r="G46" s="76"/>
      <c r="I46" s="70" t="s">
        <v>50</v>
      </c>
      <c r="J46" s="77"/>
      <c r="K46" s="75"/>
      <c r="L46" s="75"/>
    </row>
    <row r="47" spans="1:14" x14ac:dyDescent="0.25">
      <c r="A47" s="69"/>
      <c r="B47" s="70" t="s">
        <v>51</v>
      </c>
      <c r="C47" s="75">
        <f t="shared" si="8"/>
        <v>0</v>
      </c>
      <c r="D47" s="75">
        <f t="shared" si="7"/>
        <v>0</v>
      </c>
      <c r="E47" s="75">
        <f t="shared" si="7"/>
        <v>0</v>
      </c>
      <c r="I47" s="70" t="s">
        <v>51</v>
      </c>
      <c r="J47" s="77"/>
      <c r="K47" s="75"/>
      <c r="L47" s="75"/>
    </row>
    <row r="48" spans="1:14" x14ac:dyDescent="0.25">
      <c r="A48" s="69"/>
      <c r="B48" s="73" t="s">
        <v>126</v>
      </c>
      <c r="C48" s="78">
        <f>SUM(C43:C47)/5</f>
        <v>2.7500000000000004</v>
      </c>
      <c r="D48" s="78">
        <f>SUM(D43:D47)/5</f>
        <v>2.7500000000000004</v>
      </c>
      <c r="E48" s="78">
        <f>SUM(E43:E47)/5</f>
        <v>1.1440000000000001</v>
      </c>
      <c r="I48" s="73" t="s">
        <v>126</v>
      </c>
      <c r="J48" s="78">
        <f>SUM(J43:J47)/5</f>
        <v>2.5</v>
      </c>
      <c r="K48" s="78">
        <f>SUM(K43:K47)/5</f>
        <v>2.5</v>
      </c>
      <c r="L48" s="78">
        <f>SUM(L43:L47)/5</f>
        <v>1.04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13443.100000000002</v>
      </c>
      <c r="D52" s="61">
        <f t="shared" ref="D52:E52" si="9">+D33*D43</f>
        <v>11762.712500000001</v>
      </c>
      <c r="E52" s="61">
        <f t="shared" si="9"/>
        <v>2241.5536000000002</v>
      </c>
      <c r="F52" s="61">
        <f>SUM(C52:E52)</f>
        <v>27447.366100000003</v>
      </c>
    </row>
    <row r="53" spans="1:6" x14ac:dyDescent="0.25">
      <c r="B53" s="70" t="s">
        <v>48</v>
      </c>
      <c r="C53" s="61">
        <f t="shared" ref="C53:E56" si="10">+C34*C44</f>
        <v>0</v>
      </c>
      <c r="D53" s="61">
        <f t="shared" si="10"/>
        <v>0</v>
      </c>
      <c r="E53" s="61">
        <f t="shared" si="10"/>
        <v>0</v>
      </c>
      <c r="F53" s="61">
        <f t="shared" ref="F53:F56" si="11">SUM(C53:E53)</f>
        <v>0</v>
      </c>
    </row>
    <row r="54" spans="1:6" x14ac:dyDescent="0.25">
      <c r="B54" s="70" t="s">
        <v>49</v>
      </c>
      <c r="C54" s="61">
        <f t="shared" si="10"/>
        <v>0</v>
      </c>
      <c r="D54" s="61">
        <f t="shared" si="10"/>
        <v>0</v>
      </c>
      <c r="E54" s="61">
        <f t="shared" si="10"/>
        <v>0</v>
      </c>
      <c r="F54" s="61">
        <f t="shared" si="11"/>
        <v>0</v>
      </c>
    </row>
    <row r="55" spans="1:6" x14ac:dyDescent="0.25">
      <c r="B55" s="70" t="s">
        <v>50</v>
      </c>
      <c r="C55" s="61">
        <f t="shared" si="10"/>
        <v>0</v>
      </c>
      <c r="D55" s="61">
        <f t="shared" si="10"/>
        <v>0</v>
      </c>
      <c r="E55" s="61">
        <f t="shared" si="10"/>
        <v>0</v>
      </c>
      <c r="F55" s="61">
        <f t="shared" si="11"/>
        <v>0</v>
      </c>
    </row>
    <row r="56" spans="1:6" x14ac:dyDescent="0.25">
      <c r="B56" s="70" t="s">
        <v>51</v>
      </c>
      <c r="C56" s="61">
        <f t="shared" si="10"/>
        <v>0</v>
      </c>
      <c r="D56" s="61">
        <f t="shared" si="10"/>
        <v>0</v>
      </c>
      <c r="E56" s="61">
        <f t="shared" si="10"/>
        <v>0</v>
      </c>
      <c r="F56" s="61">
        <f t="shared" si="11"/>
        <v>0</v>
      </c>
    </row>
    <row r="57" spans="1:6" x14ac:dyDescent="0.25">
      <c r="B57" s="73" t="s">
        <v>79</v>
      </c>
      <c r="C57" s="74">
        <f>SUM(C52:C56)</f>
        <v>13443.100000000002</v>
      </c>
      <c r="D57" s="74">
        <f t="shared" ref="D57:F57" si="12">SUM(D52:D56)</f>
        <v>11762.712500000001</v>
      </c>
      <c r="E57" s="74">
        <f t="shared" si="12"/>
        <v>2241.5536000000002</v>
      </c>
      <c r="F57" s="74">
        <f t="shared" si="12"/>
        <v>27447.366100000003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1814818.5000000002</v>
      </c>
      <c r="D61" s="61">
        <f t="shared" ref="D61:E61" si="13">+D52*135</f>
        <v>1587966.1875000002</v>
      </c>
      <c r="E61" s="61">
        <f t="shared" si="13"/>
        <v>302609.73600000003</v>
      </c>
      <c r="F61" s="61">
        <f>SUM(C61:E61)</f>
        <v>3705394.4235000005</v>
      </c>
    </row>
    <row r="62" spans="1:6" x14ac:dyDescent="0.25">
      <c r="B62" s="70" t="s">
        <v>48</v>
      </c>
      <c r="C62" s="61">
        <f t="shared" ref="C62:E65" si="14">+C53*135</f>
        <v>0</v>
      </c>
      <c r="D62" s="61">
        <f t="shared" si="14"/>
        <v>0</v>
      </c>
      <c r="E62" s="61">
        <f t="shared" si="14"/>
        <v>0</v>
      </c>
      <c r="F62" s="61">
        <f t="shared" ref="F62:F65" si="15">SUM(C62:E62)</f>
        <v>0</v>
      </c>
    </row>
    <row r="63" spans="1:6" x14ac:dyDescent="0.25">
      <c r="B63" s="70" t="s">
        <v>49</v>
      </c>
      <c r="C63" s="61">
        <f t="shared" si="14"/>
        <v>0</v>
      </c>
      <c r="D63" s="61">
        <f t="shared" si="14"/>
        <v>0</v>
      </c>
      <c r="E63" s="61">
        <f t="shared" si="14"/>
        <v>0</v>
      </c>
      <c r="F63" s="61">
        <f t="shared" si="15"/>
        <v>0</v>
      </c>
    </row>
    <row r="64" spans="1:6" x14ac:dyDescent="0.25">
      <c r="B64" s="70" t="s">
        <v>50</v>
      </c>
      <c r="C64" s="61">
        <f t="shared" si="14"/>
        <v>0</v>
      </c>
      <c r="D64" s="61">
        <f t="shared" si="14"/>
        <v>0</v>
      </c>
      <c r="E64" s="61">
        <f t="shared" si="14"/>
        <v>0</v>
      </c>
      <c r="F64" s="61">
        <f t="shared" si="15"/>
        <v>0</v>
      </c>
    </row>
    <row r="65" spans="1:7" x14ac:dyDescent="0.25">
      <c r="B65" s="70" t="s">
        <v>51</v>
      </c>
      <c r="C65" s="61">
        <f t="shared" si="14"/>
        <v>0</v>
      </c>
      <c r="D65" s="61">
        <f t="shared" si="14"/>
        <v>0</v>
      </c>
      <c r="E65" s="61">
        <f t="shared" si="14"/>
        <v>0</v>
      </c>
      <c r="F65" s="61">
        <f t="shared" si="15"/>
        <v>0</v>
      </c>
    </row>
    <row r="66" spans="1:7" x14ac:dyDescent="0.25">
      <c r="B66" s="73" t="s">
        <v>79</v>
      </c>
      <c r="C66" s="74">
        <f>SUM(C61:C65)</f>
        <v>1814818.5000000002</v>
      </c>
      <c r="D66" s="74">
        <f t="shared" ref="D66:F66" si="16">SUM(D61:D65)</f>
        <v>1587966.1875000002</v>
      </c>
      <c r="E66" s="74">
        <f t="shared" si="16"/>
        <v>302609.73600000003</v>
      </c>
      <c r="F66" s="74">
        <f t="shared" si="16"/>
        <v>3705394.4235000005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1678707.1125000003</v>
      </c>
      <c r="D69" s="61">
        <f t="shared" ref="D69:E69" si="17">+D61*0.925</f>
        <v>1468868.7234375002</v>
      </c>
      <c r="E69" s="61">
        <f t="shared" si="17"/>
        <v>279914.00580000004</v>
      </c>
      <c r="F69" s="61">
        <f>SUM(C69:E69)</f>
        <v>3427489.8417375004</v>
      </c>
    </row>
    <row r="70" spans="1:7" x14ac:dyDescent="0.25">
      <c r="B70" s="70" t="s">
        <v>48</v>
      </c>
      <c r="C70" s="61">
        <f t="shared" ref="C70:E73" si="18">+C62*0.925</f>
        <v>0</v>
      </c>
      <c r="D70" s="61">
        <f t="shared" si="18"/>
        <v>0</v>
      </c>
      <c r="E70" s="61">
        <f t="shared" si="18"/>
        <v>0</v>
      </c>
      <c r="F70" s="61">
        <f t="shared" ref="F70:F73" si="19">SUM(C70:E70)</f>
        <v>0</v>
      </c>
    </row>
    <row r="71" spans="1:7" x14ac:dyDescent="0.25">
      <c r="B71" s="70" t="s">
        <v>49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9"/>
        <v>0</v>
      </c>
    </row>
    <row r="72" spans="1:7" x14ac:dyDescent="0.25">
      <c r="B72" s="70" t="s">
        <v>50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9"/>
        <v>0</v>
      </c>
    </row>
    <row r="73" spans="1:7" x14ac:dyDescent="0.25">
      <c r="B73" s="70" t="s">
        <v>51</v>
      </c>
      <c r="C73" s="61">
        <f t="shared" si="18"/>
        <v>0</v>
      </c>
      <c r="D73" s="61">
        <f t="shared" si="18"/>
        <v>0</v>
      </c>
      <c r="E73" s="61">
        <f t="shared" si="18"/>
        <v>0</v>
      </c>
      <c r="F73" s="61">
        <f t="shared" si="19"/>
        <v>0</v>
      </c>
    </row>
    <row r="74" spans="1:7" ht="15.75" thickBot="1" x14ac:dyDescent="0.3">
      <c r="B74" s="73" t="s">
        <v>79</v>
      </c>
      <c r="C74" s="49">
        <f>SUM(C69:C73)</f>
        <v>1678707.1125000003</v>
      </c>
      <c r="D74" s="49">
        <f t="shared" ref="D74:F74" si="20">SUM(D69:D73)</f>
        <v>1468868.7234375002</v>
      </c>
      <c r="E74" s="49">
        <f t="shared" si="20"/>
        <v>279914.00580000004</v>
      </c>
      <c r="F74" s="49">
        <f t="shared" si="20"/>
        <v>3427489.8417375004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48884</v>
      </c>
      <c r="D78" s="61">
        <f t="shared" ref="D78:E82" si="21">+D33*50</f>
        <v>42773.5</v>
      </c>
      <c r="E78" s="61">
        <f t="shared" si="21"/>
        <v>19594</v>
      </c>
      <c r="F78" s="61">
        <f>SUM(C78:E78)</f>
        <v>111251.5</v>
      </c>
    </row>
    <row r="79" spans="1:7" x14ac:dyDescent="0.25">
      <c r="B79" s="70" t="s">
        <v>48</v>
      </c>
      <c r="C79" s="61">
        <f>+C34*50</f>
        <v>0</v>
      </c>
      <c r="D79" s="61">
        <f t="shared" si="21"/>
        <v>0</v>
      </c>
      <c r="E79" s="61">
        <f t="shared" si="21"/>
        <v>0</v>
      </c>
      <c r="F79" s="61">
        <f t="shared" ref="F79:F82" si="22">SUM(C79:E79)</f>
        <v>0</v>
      </c>
    </row>
    <row r="80" spans="1:7" x14ac:dyDescent="0.25">
      <c r="B80" s="70" t="s">
        <v>49</v>
      </c>
      <c r="C80" s="61">
        <f>+C35*50</f>
        <v>0</v>
      </c>
      <c r="D80" s="61">
        <f t="shared" si="21"/>
        <v>0</v>
      </c>
      <c r="E80" s="61">
        <f t="shared" si="21"/>
        <v>0</v>
      </c>
      <c r="F80" s="61">
        <f t="shared" si="22"/>
        <v>0</v>
      </c>
    </row>
    <row r="81" spans="1:7" x14ac:dyDescent="0.25">
      <c r="B81" s="70" t="s">
        <v>50</v>
      </c>
      <c r="C81" s="61">
        <f>+C36*50</f>
        <v>0</v>
      </c>
      <c r="D81" s="61">
        <f t="shared" si="21"/>
        <v>0</v>
      </c>
      <c r="E81" s="61">
        <f t="shared" si="21"/>
        <v>0</v>
      </c>
      <c r="F81" s="61">
        <f t="shared" si="22"/>
        <v>0</v>
      </c>
    </row>
    <row r="82" spans="1:7" x14ac:dyDescent="0.25">
      <c r="B82" s="70" t="s">
        <v>51</v>
      </c>
      <c r="C82" s="61">
        <f>+C37*50</f>
        <v>0</v>
      </c>
      <c r="D82" s="61">
        <f t="shared" si="21"/>
        <v>0</v>
      </c>
      <c r="E82" s="61">
        <f t="shared" si="21"/>
        <v>0</v>
      </c>
      <c r="F82" s="61">
        <f t="shared" si="22"/>
        <v>0</v>
      </c>
    </row>
    <row r="83" spans="1:7" ht="15.75" thickBot="1" x14ac:dyDescent="0.3">
      <c r="B83" s="73" t="s">
        <v>79</v>
      </c>
      <c r="C83" s="49">
        <f>SUM(C78:C82)</f>
        <v>48884</v>
      </c>
      <c r="D83" s="49">
        <f t="shared" ref="D83:F83" si="23">SUM(D78:D82)</f>
        <v>42773.5</v>
      </c>
      <c r="E83" s="49">
        <f t="shared" si="23"/>
        <v>19594</v>
      </c>
      <c r="F83" s="49">
        <f t="shared" si="23"/>
        <v>111251.5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803.33262798634814</v>
      </c>
      <c r="D93" s="61">
        <f>+D38*J13</f>
        <v>672.4752262982372</v>
      </c>
      <c r="E93" s="61">
        <f>+E38*K13</f>
        <v>265.79686956521738</v>
      </c>
      <c r="F93" s="61">
        <f>SUM(C93:E93)</f>
        <v>1741.6047238498027</v>
      </c>
    </row>
    <row r="94" spans="1:7" x14ac:dyDescent="0.25">
      <c r="B94" s="70" t="s">
        <v>110</v>
      </c>
      <c r="C94" s="61">
        <f>+C38-C93</f>
        <v>174.34737201365192</v>
      </c>
      <c r="D94" s="61">
        <f t="shared" ref="D94:E94" si="24">+D38-D93</f>
        <v>182.99477370176282</v>
      </c>
      <c r="E94" s="61">
        <f t="shared" si="24"/>
        <v>126.08313043478262</v>
      </c>
      <c r="F94" s="61">
        <f t="shared" ref="F94" si="25">SUM(C94:E94)</f>
        <v>483.42527615019736</v>
      </c>
    </row>
    <row r="95" spans="1:7" x14ac:dyDescent="0.25">
      <c r="B95" s="73" t="s">
        <v>79</v>
      </c>
      <c r="C95" s="74">
        <f>SUM(C93:C94)</f>
        <v>977.68000000000006</v>
      </c>
      <c r="D95" s="74">
        <f>SUM(D93:D94)</f>
        <v>855.47</v>
      </c>
      <c r="E95" s="74">
        <f>SUM(E93:E94)</f>
        <v>391.88</v>
      </c>
      <c r="F95" s="74">
        <f>SUM(F93:F94)</f>
        <v>2225.0300000000002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160666.52559726962</v>
      </c>
      <c r="D98" s="61">
        <f t="shared" ref="D98" si="26">+D93*200</f>
        <v>134495.04525964745</v>
      </c>
      <c r="E98" s="61">
        <f>+E93*50</f>
        <v>13289.843478260869</v>
      </c>
      <c r="F98" s="61">
        <f>SUM(C98:E98)</f>
        <v>308451.41433517792</v>
      </c>
    </row>
    <row r="99" spans="2:6" x14ac:dyDescent="0.25">
      <c r="B99" s="70" t="s">
        <v>110</v>
      </c>
      <c r="C99" s="61">
        <f>+C94*70</f>
        <v>12204.316040955635</v>
      </c>
      <c r="D99" s="61">
        <f t="shared" ref="D99" si="27">+D94*70</f>
        <v>12809.634159123398</v>
      </c>
      <c r="E99" s="88">
        <f>+'[1]Facility Fee'!$X$37*E38</f>
        <v>0</v>
      </c>
      <c r="F99" s="61">
        <f t="shared" ref="F99" si="28">SUM(C99:E99)</f>
        <v>25013.950200079031</v>
      </c>
    </row>
    <row r="100" spans="2:6" x14ac:dyDescent="0.25">
      <c r="B100" s="73" t="s">
        <v>79</v>
      </c>
      <c r="C100" s="74">
        <f>SUM(C98:C99)</f>
        <v>172870.84163822525</v>
      </c>
      <c r="D100" s="74">
        <f>SUM(D98:D99)</f>
        <v>147304.67941877086</v>
      </c>
      <c r="E100" s="74">
        <f>SUM(E98:E99)</f>
        <v>13289.843478260869</v>
      </c>
      <c r="F100" s="74">
        <f>SUM(F98:F99)</f>
        <v>333465.36453525693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2"/>
  <sheetViews>
    <sheetView topLeftCell="A82" workbookViewId="0">
      <selection activeCell="I105" sqref="I105"/>
    </sheetView>
  </sheetViews>
  <sheetFormatPr defaultColWidth="9.140625" defaultRowHeight="15" x14ac:dyDescent="0.25"/>
  <cols>
    <col min="1" max="1" width="4" style="220" customWidth="1"/>
    <col min="2" max="2" width="11.7109375" style="220" customWidth="1"/>
    <col min="3" max="3" width="11.28515625" style="220" customWidth="1"/>
    <col min="4" max="4" width="11.140625" style="220" customWidth="1"/>
    <col min="5" max="5" width="11" style="220" customWidth="1"/>
    <col min="6" max="6" width="11.28515625" style="220" customWidth="1"/>
    <col min="7" max="7" width="12" style="220" hidden="1" customWidth="1"/>
    <col min="8" max="8" width="11.28515625" style="220" hidden="1" customWidth="1"/>
    <col min="9" max="10" width="12" style="220" customWidth="1"/>
    <col min="11" max="11" width="10.5703125" style="220" bestFit="1" customWidth="1"/>
    <col min="12" max="21" width="9.140625" style="220"/>
    <col min="22" max="22" width="10" style="220" bestFit="1" customWidth="1"/>
    <col min="23" max="16384" width="9.140625" style="220"/>
  </cols>
  <sheetData>
    <row r="1" spans="1:10" x14ac:dyDescent="0.25">
      <c r="A1" s="36" t="s">
        <v>0</v>
      </c>
    </row>
    <row r="2" spans="1:10" x14ac:dyDescent="0.25">
      <c r="A2" s="36" t="s">
        <v>229</v>
      </c>
    </row>
    <row r="4" spans="1:10" x14ac:dyDescent="0.25">
      <c r="A4" s="36"/>
      <c r="B4" s="36" t="s">
        <v>98</v>
      </c>
      <c r="C4" s="38"/>
      <c r="D4" s="38"/>
      <c r="E4" s="38"/>
      <c r="F4" s="38"/>
      <c r="G4" s="38"/>
    </row>
    <row r="5" spans="1:10" x14ac:dyDescent="0.25">
      <c r="A5" s="36"/>
      <c r="B5" s="39" t="s">
        <v>230</v>
      </c>
      <c r="C5" s="38"/>
      <c r="D5" s="38"/>
      <c r="E5" s="38"/>
      <c r="F5" s="38"/>
      <c r="G5" s="38"/>
    </row>
    <row r="6" spans="1:10" x14ac:dyDescent="0.25">
      <c r="A6" s="36"/>
      <c r="B6" s="39" t="s">
        <v>231</v>
      </c>
      <c r="C6" s="40"/>
      <c r="D6" s="40"/>
      <c r="E6" s="40"/>
      <c r="F6" s="38"/>
      <c r="G6" s="38"/>
    </row>
    <row r="7" spans="1:10" x14ac:dyDescent="0.25">
      <c r="A7" s="36"/>
      <c r="B7" s="39" t="s">
        <v>101</v>
      </c>
      <c r="C7" s="38"/>
      <c r="D7" s="38"/>
      <c r="E7" s="38"/>
      <c r="F7" s="38"/>
      <c r="G7" s="38"/>
    </row>
    <row r="8" spans="1:10" x14ac:dyDescent="0.25">
      <c r="A8" s="36"/>
      <c r="B8" s="39" t="s">
        <v>232</v>
      </c>
      <c r="F8" s="38"/>
      <c r="G8" s="38"/>
    </row>
    <row r="9" spans="1:10" x14ac:dyDescent="0.25">
      <c r="A9" s="36"/>
      <c r="B9" s="39"/>
      <c r="F9" s="38"/>
      <c r="G9" s="38"/>
    </row>
    <row r="10" spans="1:10" ht="15.75" thickBot="1" x14ac:dyDescent="0.3">
      <c r="A10" s="36"/>
      <c r="F10" s="38"/>
      <c r="G10" s="38"/>
    </row>
    <row r="11" spans="1:10" ht="15.75" thickBot="1" x14ac:dyDescent="0.3">
      <c r="A11" s="36"/>
      <c r="B11" s="54"/>
      <c r="C11" s="221"/>
      <c r="D11" s="221"/>
      <c r="E11" s="38"/>
      <c r="F11" s="209">
        <v>2017</v>
      </c>
      <c r="G11" s="222">
        <v>2017</v>
      </c>
      <c r="H11" s="222">
        <v>2018</v>
      </c>
      <c r="I11" s="222">
        <v>2018</v>
      </c>
      <c r="J11" s="222">
        <v>2019</v>
      </c>
    </row>
    <row r="12" spans="1:10" x14ac:dyDescent="0.25">
      <c r="A12" s="36"/>
      <c r="B12" s="39" t="s">
        <v>112</v>
      </c>
      <c r="C12" s="221"/>
      <c r="D12" s="221"/>
      <c r="E12" s="38"/>
      <c r="F12" s="223">
        <v>7753531.9442625009</v>
      </c>
      <c r="G12" s="223">
        <v>7753531.9442625009</v>
      </c>
      <c r="H12" s="224">
        <f>+F78</f>
        <v>8605614.0616435129</v>
      </c>
      <c r="I12" s="223">
        <f>'[23]2018'!J12</f>
        <v>8099092.6921662679</v>
      </c>
      <c r="J12" s="224">
        <f>+F78-4000</f>
        <v>8601614.0616435129</v>
      </c>
    </row>
    <row r="13" spans="1:10" x14ac:dyDescent="0.25">
      <c r="A13" s="36"/>
      <c r="B13" s="39" t="s">
        <v>113</v>
      </c>
      <c r="C13" s="221"/>
      <c r="D13" s="221"/>
      <c r="E13" s="38"/>
      <c r="F13" s="223">
        <v>278962</v>
      </c>
      <c r="G13" s="223">
        <v>278962</v>
      </c>
      <c r="H13" s="224">
        <f>+F87</f>
        <v>265377.5</v>
      </c>
      <c r="I13" s="223">
        <f>'[23]2018'!J13</f>
        <v>262750</v>
      </c>
      <c r="J13" s="224">
        <f>+F87</f>
        <v>265377.5</v>
      </c>
    </row>
    <row r="14" spans="1:10" x14ac:dyDescent="0.25">
      <c r="A14" s="36"/>
      <c r="B14" s="39" t="s">
        <v>114</v>
      </c>
      <c r="C14" s="221"/>
      <c r="D14" s="221"/>
      <c r="E14" s="38"/>
      <c r="F14" s="223">
        <v>820675.5</v>
      </c>
      <c r="G14" s="223">
        <v>820675.5</v>
      </c>
      <c r="H14" s="224">
        <f>+F104</f>
        <v>0</v>
      </c>
      <c r="I14" s="223">
        <f>'[23]2018'!J14</f>
        <v>713290.98834714061</v>
      </c>
      <c r="J14" s="224">
        <f>F112</f>
        <v>771511.61670609645</v>
      </c>
    </row>
    <row r="15" spans="1:10" ht="15.75" thickBot="1" x14ac:dyDescent="0.3">
      <c r="A15" s="36"/>
      <c r="B15" s="39"/>
      <c r="C15" s="221"/>
      <c r="D15" s="221"/>
      <c r="E15" s="38"/>
      <c r="F15" s="210">
        <v>8853169.4442625009</v>
      </c>
      <c r="G15" s="210">
        <v>8853169.4442625009</v>
      </c>
      <c r="H15" s="210">
        <f>SUM(H12:H14)</f>
        <v>8870991.5616435129</v>
      </c>
      <c r="I15" s="210">
        <f>SUM(I12:I14)</f>
        <v>9075133.680513408</v>
      </c>
      <c r="J15" s="210">
        <f>SUM(J12:J14)</f>
        <v>9638503.1783496086</v>
      </c>
    </row>
    <row r="16" spans="1:10" ht="15.75" thickTop="1" x14ac:dyDescent="0.25">
      <c r="A16" s="36"/>
      <c r="B16" s="39"/>
      <c r="C16" s="221"/>
      <c r="D16" s="221"/>
      <c r="E16" s="38"/>
      <c r="F16" s="71"/>
      <c r="G16" s="211"/>
      <c r="H16" s="211"/>
      <c r="I16" s="211"/>
      <c r="J16" s="211"/>
    </row>
    <row r="17" spans="1:19" x14ac:dyDescent="0.25">
      <c r="A17" s="36"/>
      <c r="B17" s="39" t="s">
        <v>233</v>
      </c>
      <c r="C17" s="221"/>
      <c r="D17" s="221"/>
      <c r="E17" s="38"/>
      <c r="F17" s="211">
        <v>96000</v>
      </c>
      <c r="G17" s="211">
        <v>96000</v>
      </c>
      <c r="H17" s="211">
        <v>96000</v>
      </c>
      <c r="I17" s="211">
        <f>'[23]2018'!J17</f>
        <v>100000</v>
      </c>
      <c r="J17" s="211">
        <v>100000</v>
      </c>
      <c r="K17" s="225"/>
    </row>
    <row r="18" spans="1:19" x14ac:dyDescent="0.25">
      <c r="A18" s="36"/>
      <c r="B18" s="39" t="s">
        <v>115</v>
      </c>
      <c r="C18" s="221"/>
      <c r="D18" s="221"/>
      <c r="E18" s="38"/>
      <c r="F18" s="211">
        <v>1000000</v>
      </c>
      <c r="G18" s="211">
        <v>1000000</v>
      </c>
      <c r="H18" s="211">
        <v>1000000</v>
      </c>
      <c r="I18" s="211">
        <v>1000000</v>
      </c>
      <c r="J18" s="211">
        <v>1000000</v>
      </c>
    </row>
    <row r="19" spans="1:19" x14ac:dyDescent="0.25">
      <c r="A19" s="36"/>
      <c r="B19" s="39" t="s">
        <v>116</v>
      </c>
      <c r="C19" s="221"/>
      <c r="D19" s="221"/>
      <c r="E19" s="38"/>
      <c r="F19" s="211">
        <v>2800000</v>
      </c>
      <c r="G19" s="211">
        <v>2800000</v>
      </c>
      <c r="H19" s="211">
        <v>2800000</v>
      </c>
      <c r="I19" s="211">
        <v>2800000</v>
      </c>
      <c r="J19" s="211">
        <v>2800000</v>
      </c>
    </row>
    <row r="20" spans="1:19" ht="17.25" thickBot="1" x14ac:dyDescent="0.4">
      <c r="A20" s="36"/>
      <c r="B20" s="39" t="s">
        <v>198</v>
      </c>
      <c r="C20" s="221"/>
      <c r="D20" s="221"/>
      <c r="E20" s="38"/>
      <c r="F20" s="212"/>
      <c r="G20" s="212"/>
      <c r="H20" s="212"/>
      <c r="I20" s="212"/>
      <c r="J20" s="212"/>
    </row>
    <row r="21" spans="1:19" ht="15.75" thickBot="1" x14ac:dyDescent="0.3">
      <c r="A21" s="36"/>
      <c r="B21" s="39" t="s">
        <v>234</v>
      </c>
      <c r="C21" s="221"/>
      <c r="D21" s="221"/>
      <c r="E21" s="38"/>
      <c r="F21" s="213">
        <v>12749169.444262501</v>
      </c>
      <c r="G21" s="213">
        <f t="shared" ref="G21" si="0">+G15+G17+G18+G19+G20</f>
        <v>12749169.444262501</v>
      </c>
      <c r="H21" s="213">
        <f>+H15+H17+H18+H19+H20</f>
        <v>12766991.561643513</v>
      </c>
      <c r="I21" s="213">
        <f>SUM(I15:I19)</f>
        <v>12975133.680513408</v>
      </c>
      <c r="J21" s="213">
        <f>SUM(J15:J20)</f>
        <v>13538503.178349609</v>
      </c>
    </row>
    <row r="22" spans="1:19" x14ac:dyDescent="0.25">
      <c r="A22" s="36"/>
      <c r="B22" s="39"/>
      <c r="C22" s="221"/>
      <c r="D22" s="221"/>
      <c r="E22" s="38"/>
      <c r="F22" s="38"/>
      <c r="G22" s="59"/>
      <c r="H22" s="59"/>
      <c r="J22" s="61"/>
    </row>
    <row r="23" spans="1:19" x14ac:dyDescent="0.25">
      <c r="A23" s="226" t="s">
        <v>199</v>
      </c>
      <c r="B23" s="227"/>
      <c r="C23" s="173"/>
      <c r="D23" s="173"/>
      <c r="E23" s="173"/>
      <c r="F23" s="173"/>
      <c r="G23" s="173"/>
      <c r="H23" s="227"/>
      <c r="I23" s="228" t="s">
        <v>200</v>
      </c>
      <c r="J23" s="227"/>
      <c r="K23" s="173"/>
      <c r="L23" s="173"/>
      <c r="M23" s="173"/>
      <c r="N23" s="173"/>
      <c r="O23" s="228" t="s">
        <v>201</v>
      </c>
      <c r="P23" s="227"/>
      <c r="Q23" s="173"/>
      <c r="R23" s="173"/>
      <c r="S23" s="174"/>
    </row>
    <row r="24" spans="1:19" x14ac:dyDescent="0.25">
      <c r="A24" s="229"/>
      <c r="B24" s="175"/>
      <c r="C24" s="66"/>
      <c r="D24" s="66"/>
      <c r="E24" s="66"/>
      <c r="F24" s="66"/>
      <c r="G24" s="66"/>
      <c r="H24" s="230"/>
      <c r="I24" s="231"/>
      <c r="J24" s="175"/>
      <c r="K24" s="66"/>
      <c r="L24" s="66"/>
      <c r="M24" s="66"/>
      <c r="N24" s="66"/>
      <c r="O24" s="231"/>
      <c r="P24" s="175"/>
      <c r="Q24" s="66"/>
      <c r="R24" s="66"/>
      <c r="S24" s="176"/>
    </row>
    <row r="25" spans="1:19" x14ac:dyDescent="0.25">
      <c r="A25" s="177"/>
      <c r="B25" s="178" t="s">
        <v>120</v>
      </c>
      <c r="C25" s="68" t="s">
        <v>202</v>
      </c>
      <c r="D25" s="68" t="s">
        <v>203</v>
      </c>
      <c r="E25" s="68" t="s">
        <v>137</v>
      </c>
      <c r="F25" s="68" t="s">
        <v>79</v>
      </c>
      <c r="G25" s="63"/>
      <c r="H25" s="230"/>
      <c r="I25" s="63"/>
      <c r="J25" s="178" t="s">
        <v>120</v>
      </c>
      <c r="K25" s="68" t="s">
        <v>202</v>
      </c>
      <c r="L25" s="68" t="s">
        <v>203</v>
      </c>
      <c r="M25" s="68" t="s">
        <v>137</v>
      </c>
      <c r="N25" s="179"/>
      <c r="O25" s="63"/>
      <c r="P25" s="178" t="s">
        <v>120</v>
      </c>
      <c r="Q25" s="68" t="s">
        <v>202</v>
      </c>
      <c r="R25" s="68" t="s">
        <v>203</v>
      </c>
      <c r="S25" s="180" t="s">
        <v>137</v>
      </c>
    </row>
    <row r="26" spans="1:19" x14ac:dyDescent="0.25">
      <c r="A26" s="181"/>
      <c r="B26" s="182" t="s">
        <v>124</v>
      </c>
      <c r="C26" s="183">
        <f>+'[23]2018'!C26*1.01</f>
        <v>957.48</v>
      </c>
      <c r="D26" s="183">
        <f>+'[23]2018'!D26*1.01</f>
        <v>893.85</v>
      </c>
      <c r="E26" s="183">
        <f>+'[23]2018'!E26*1.01</f>
        <v>432.28000000000003</v>
      </c>
      <c r="F26" s="183">
        <f>SUM(C26:E26)</f>
        <v>2283.61</v>
      </c>
      <c r="G26" s="94"/>
      <c r="H26" s="230"/>
      <c r="I26" s="184"/>
      <c r="J26" s="182" t="s">
        <v>124</v>
      </c>
      <c r="K26" s="232">
        <f>'[23]Proj 2019'!K31</f>
        <v>0.92588532883642494</v>
      </c>
      <c r="L26" s="232">
        <f>'[23]Proj 2019'!L31</f>
        <v>0.91160877513711147</v>
      </c>
      <c r="M26" s="232">
        <f>'[23]Proj 2019'!M31</f>
        <v>1</v>
      </c>
      <c r="N26" s="232"/>
      <c r="O26" s="184"/>
      <c r="P26" s="182" t="s">
        <v>124</v>
      </c>
      <c r="Q26" s="232">
        <f>'[23]Proj 2019'!Q31</f>
        <v>7.4114671163575063E-2</v>
      </c>
      <c r="R26" s="232">
        <f>'[23]Proj 2019'!R31</f>
        <v>8.8391224862888529E-2</v>
      </c>
      <c r="S26" s="233">
        <f>'[23]Proj 2019'!S31</f>
        <v>0.66666666666666663</v>
      </c>
    </row>
    <row r="27" spans="1:19" x14ac:dyDescent="0.25">
      <c r="A27" s="181"/>
      <c r="B27" s="182" t="s">
        <v>48</v>
      </c>
      <c r="C27" s="183">
        <f>+'[23]2018'!C27*1.01</f>
        <v>648.41999999999996</v>
      </c>
      <c r="D27" s="183">
        <f>+'[23]2018'!D27*1.01</f>
        <v>548.42999999999995</v>
      </c>
      <c r="E27" s="183">
        <f>+'[23]2018'!E27*1.01</f>
        <v>253.51</v>
      </c>
      <c r="F27" s="183">
        <f t="shared" ref="F27:F30" si="1">SUM(C27:E27)</f>
        <v>1450.36</v>
      </c>
      <c r="G27" s="94"/>
      <c r="H27" s="230"/>
      <c r="I27" s="184"/>
      <c r="J27" s="182" t="s">
        <v>48</v>
      </c>
      <c r="K27" s="232">
        <f>'[23]Proj 2019'!K32</f>
        <v>0.6886807061009601</v>
      </c>
      <c r="L27" s="232">
        <f>'[23]Proj 2019'!L32</f>
        <v>0.56745272997663054</v>
      </c>
      <c r="M27" s="232">
        <f>'[23]Proj 2019'!M32</f>
        <v>0</v>
      </c>
      <c r="N27" s="232"/>
      <c r="O27" s="184"/>
      <c r="P27" s="182" t="s">
        <v>48</v>
      </c>
      <c r="Q27" s="232">
        <f>'[23]Proj 2019'!Q32</f>
        <v>0.3113192938990399</v>
      </c>
      <c r="R27" s="232">
        <f>'[23]Proj 2019'!R32</f>
        <v>0.43254727002336946</v>
      </c>
      <c r="S27" s="234">
        <f>'[23]Proj 2019'!S32</f>
        <v>1</v>
      </c>
    </row>
    <row r="28" spans="1:19" s="236" customFormat="1" x14ac:dyDescent="0.25">
      <c r="A28" s="181"/>
      <c r="B28" s="182" t="s">
        <v>49</v>
      </c>
      <c r="C28" s="183">
        <f>+'[23]2018'!C28*1.01</f>
        <v>251.49</v>
      </c>
      <c r="D28" s="183">
        <f>+'[23]2018'!D28*1.01</f>
        <v>234.32</v>
      </c>
      <c r="E28" s="183">
        <f>+'[23]2018'!E28*1.01</f>
        <v>128.27000000000001</v>
      </c>
      <c r="F28" s="183">
        <f t="shared" si="1"/>
        <v>614.08000000000004</v>
      </c>
      <c r="G28" s="235"/>
      <c r="H28" s="235"/>
      <c r="I28" s="184"/>
      <c r="J28" s="182" t="s">
        <v>49</v>
      </c>
      <c r="K28" s="232">
        <f>'[23]Proj 2019'!K33</f>
        <v>0.74791666666666667</v>
      </c>
      <c r="L28" s="232">
        <f>'[23]Proj 2019'!L33</f>
        <v>0.77748108589230081</v>
      </c>
      <c r="M28" s="232">
        <f>'[23]Proj 2019'!M33</f>
        <v>0</v>
      </c>
      <c r="N28" s="232"/>
      <c r="O28" s="184"/>
      <c r="P28" s="182" t="s">
        <v>49</v>
      </c>
      <c r="Q28" s="232">
        <f>'[23]Proj 2019'!Q33</f>
        <v>0.25208333333333333</v>
      </c>
      <c r="R28" s="232">
        <f>'[23]Proj 2019'!R33</f>
        <v>0.22251891410769919</v>
      </c>
      <c r="S28" s="234">
        <f>'[23]Proj 2019'!S33</f>
        <v>1</v>
      </c>
    </row>
    <row r="29" spans="1:19" x14ac:dyDescent="0.25">
      <c r="A29" s="181"/>
      <c r="B29" s="182" t="s">
        <v>50</v>
      </c>
      <c r="C29" s="183">
        <f>+'[23]2018'!C29*1.01</f>
        <v>207.05</v>
      </c>
      <c r="D29" s="183">
        <f>+'[23]2018'!D29*1.01</f>
        <v>179.78</v>
      </c>
      <c r="E29" s="183">
        <f>+'[23]2018'!E29*1.01</f>
        <v>125.24</v>
      </c>
      <c r="F29" s="183">
        <f t="shared" si="1"/>
        <v>512.07000000000005</v>
      </c>
      <c r="G29" s="94"/>
      <c r="H29" s="230"/>
      <c r="I29" s="184"/>
      <c r="J29" s="182" t="s">
        <v>50</v>
      </c>
      <c r="K29" s="232">
        <f>'[23]Proj 2019'!K34</f>
        <v>0.52263126131563065</v>
      </c>
      <c r="L29" s="232">
        <f>'[23]Proj 2019'!L34</f>
        <v>0.56819693945442451</v>
      </c>
      <c r="M29" s="232">
        <f>'[23]Proj 2019'!M34</f>
        <v>0</v>
      </c>
      <c r="N29" s="232"/>
      <c r="O29" s="184"/>
      <c r="P29" s="182" t="s">
        <v>50</v>
      </c>
      <c r="Q29" s="232">
        <f>'[23]Proj 2019'!Q34</f>
        <v>0.4773687386843693</v>
      </c>
      <c r="R29" s="232">
        <f>'[23]Proj 2019'!R34</f>
        <v>0.43180306054557543</v>
      </c>
      <c r="S29" s="234">
        <f>'[23]Proj 2019'!S34</f>
        <v>1</v>
      </c>
    </row>
    <row r="30" spans="1:19" x14ac:dyDescent="0.25">
      <c r="A30" s="181"/>
      <c r="B30" s="182" t="s">
        <v>51</v>
      </c>
      <c r="C30" s="183">
        <f>+'[23]2018'!C30*1.01</f>
        <v>177.76</v>
      </c>
      <c r="D30" s="183">
        <f>+'[23]2018'!D30*1.01</f>
        <v>179.78</v>
      </c>
      <c r="E30" s="183">
        <f>+'[23]2018'!E30*1.01</f>
        <v>89.89</v>
      </c>
      <c r="F30" s="183">
        <f t="shared" si="1"/>
        <v>447.42999999999995</v>
      </c>
      <c r="G30" s="230"/>
      <c r="H30" s="230"/>
      <c r="I30" s="184"/>
      <c r="J30" s="182" t="s">
        <v>51</v>
      </c>
      <c r="K30" s="232">
        <f>'[23]Proj 2019'!K35</f>
        <v>0.74304322084073415</v>
      </c>
      <c r="L30" s="232">
        <f>'[23]Proj 2019'!L35</f>
        <v>0.68228849665246505</v>
      </c>
      <c r="M30" s="232">
        <f>'[23]Proj 2019'!M35</f>
        <v>0</v>
      </c>
      <c r="N30" s="232"/>
      <c r="O30" s="184"/>
      <c r="P30" s="182" t="s">
        <v>51</v>
      </c>
      <c r="Q30" s="232">
        <f>'[23]Proj 2019'!Q35</f>
        <v>0.25695677915926585</v>
      </c>
      <c r="R30" s="232">
        <f>'[23]Proj 2019'!R35</f>
        <v>0.31771150334753495</v>
      </c>
      <c r="S30" s="234">
        <f>'[23]Proj 2019'!S35</f>
        <v>1</v>
      </c>
    </row>
    <row r="31" spans="1:19" x14ac:dyDescent="0.25">
      <c r="A31" s="185"/>
      <c r="B31" s="186" t="s">
        <v>79</v>
      </c>
      <c r="C31" s="74">
        <f>SUM(C26:C30)</f>
        <v>2242.1999999999998</v>
      </c>
      <c r="D31" s="74">
        <f>SUM(D26:D30)</f>
        <v>2036.1599999999999</v>
      </c>
      <c r="E31" s="74">
        <f>SUM(E26:E30)</f>
        <v>1029.19</v>
      </c>
      <c r="F31" s="74">
        <f>SUM(F26:F30)</f>
        <v>5307.55</v>
      </c>
      <c r="G31" s="237"/>
      <c r="H31" s="237"/>
      <c r="I31" s="187"/>
      <c r="J31" s="186"/>
      <c r="K31" s="188"/>
      <c r="L31" s="188"/>
      <c r="M31" s="188"/>
      <c r="N31" s="188"/>
      <c r="O31" s="237"/>
      <c r="P31" s="237"/>
      <c r="Q31" s="237"/>
      <c r="R31" s="237"/>
      <c r="S31" s="238"/>
    </row>
    <row r="32" spans="1:19" x14ac:dyDescent="0.25">
      <c r="F32" s="183"/>
    </row>
    <row r="33" spans="1:16" x14ac:dyDescent="0.25">
      <c r="A33" s="226" t="s">
        <v>235</v>
      </c>
      <c r="B33" s="227"/>
      <c r="C33" s="173"/>
      <c r="D33" s="173"/>
      <c r="E33" s="173"/>
      <c r="F33" s="173"/>
      <c r="G33" s="227"/>
      <c r="H33" s="227"/>
      <c r="I33" s="227"/>
      <c r="J33" s="227"/>
      <c r="K33" s="227"/>
      <c r="L33" s="227"/>
      <c r="M33" s="239"/>
    </row>
    <row r="34" spans="1:16" x14ac:dyDescent="0.25">
      <c r="A34" s="229"/>
      <c r="B34" s="175"/>
      <c r="C34" s="63"/>
      <c r="D34" s="63"/>
      <c r="E34" s="63"/>
      <c r="F34" s="63"/>
      <c r="G34" s="230"/>
      <c r="H34" s="230"/>
      <c r="I34" s="335"/>
      <c r="J34" s="336"/>
      <c r="K34" s="336"/>
      <c r="L34" s="336"/>
      <c r="M34" s="337"/>
    </row>
    <row r="35" spans="1:16" x14ac:dyDescent="0.25">
      <c r="A35" s="177"/>
      <c r="B35" s="178" t="s">
        <v>120</v>
      </c>
      <c r="C35" s="68" t="s">
        <v>202</v>
      </c>
      <c r="D35" s="68" t="s">
        <v>203</v>
      </c>
      <c r="E35" s="68" t="s">
        <v>137</v>
      </c>
      <c r="F35" s="230"/>
      <c r="G35" s="230"/>
      <c r="H35" s="230"/>
      <c r="I35" s="178" t="s">
        <v>120</v>
      </c>
      <c r="J35" s="68" t="s">
        <v>202</v>
      </c>
      <c r="K35" s="68" t="s">
        <v>203</v>
      </c>
      <c r="L35" s="68" t="s">
        <v>137</v>
      </c>
      <c r="M35" s="180"/>
    </row>
    <row r="36" spans="1:16" x14ac:dyDescent="0.25">
      <c r="A36" s="181"/>
      <c r="B36" s="182" t="s">
        <v>124</v>
      </c>
      <c r="C36" s="77">
        <v>15</v>
      </c>
      <c r="D36" s="77">
        <v>15</v>
      </c>
      <c r="E36" s="77">
        <v>6</v>
      </c>
      <c r="F36" s="230"/>
      <c r="G36" s="230"/>
      <c r="H36" s="230"/>
      <c r="I36" s="182" t="s">
        <v>124</v>
      </c>
      <c r="J36" s="77">
        <v>13.6</v>
      </c>
      <c r="K36" s="77">
        <v>13.4</v>
      </c>
      <c r="L36" s="77">
        <v>12</v>
      </c>
      <c r="M36" s="240"/>
    </row>
    <row r="37" spans="1:16" x14ac:dyDescent="0.25">
      <c r="A37" s="181"/>
      <c r="B37" s="182" t="s">
        <v>48</v>
      </c>
      <c r="C37" s="77">
        <v>15</v>
      </c>
      <c r="D37" s="77">
        <v>15</v>
      </c>
      <c r="E37" s="77">
        <v>6</v>
      </c>
      <c r="F37" s="230"/>
      <c r="G37" s="230"/>
      <c r="H37" s="230"/>
      <c r="I37" s="182" t="s">
        <v>48</v>
      </c>
      <c r="J37" s="77">
        <v>13.2</v>
      </c>
      <c r="K37" s="77">
        <v>13.5</v>
      </c>
      <c r="L37" s="77">
        <v>0</v>
      </c>
      <c r="M37" s="240"/>
    </row>
    <row r="38" spans="1:16" x14ac:dyDescent="0.25">
      <c r="A38" s="181"/>
      <c r="B38" s="182" t="s">
        <v>49</v>
      </c>
      <c r="C38" s="77">
        <v>15</v>
      </c>
      <c r="D38" s="77">
        <v>15</v>
      </c>
      <c r="E38" s="77">
        <v>6</v>
      </c>
      <c r="F38" s="230"/>
      <c r="G38" s="230"/>
      <c r="H38" s="230"/>
      <c r="I38" s="182" t="s">
        <v>49</v>
      </c>
      <c r="J38" s="77">
        <v>13.4</v>
      </c>
      <c r="K38" s="77">
        <v>13.4</v>
      </c>
      <c r="L38" s="77">
        <v>0</v>
      </c>
      <c r="M38" s="240"/>
      <c r="P38" s="254"/>
    </row>
    <row r="39" spans="1:16" x14ac:dyDescent="0.25">
      <c r="A39" s="181"/>
      <c r="B39" s="182" t="s">
        <v>50</v>
      </c>
      <c r="C39" s="77">
        <v>15</v>
      </c>
      <c r="D39" s="77">
        <v>15</v>
      </c>
      <c r="E39" s="77">
        <v>6</v>
      </c>
      <c r="F39" s="241"/>
      <c r="G39" s="241"/>
      <c r="H39" s="230"/>
      <c r="I39" s="182" t="s">
        <v>50</v>
      </c>
      <c r="J39" s="77">
        <v>12.6</v>
      </c>
      <c r="K39" s="77">
        <v>12.6</v>
      </c>
      <c r="L39" s="77">
        <v>0</v>
      </c>
      <c r="M39" s="240"/>
    </row>
    <row r="40" spans="1:16" x14ac:dyDescent="0.25">
      <c r="A40" s="181"/>
      <c r="B40" s="182" t="s">
        <v>51</v>
      </c>
      <c r="C40" s="77">
        <v>15</v>
      </c>
      <c r="D40" s="77">
        <v>15</v>
      </c>
      <c r="E40" s="77">
        <v>6</v>
      </c>
      <c r="F40" s="230"/>
      <c r="G40" s="230"/>
      <c r="H40" s="230"/>
      <c r="I40" s="182" t="s">
        <v>51</v>
      </c>
      <c r="J40" s="77">
        <v>13.5</v>
      </c>
      <c r="K40" s="77">
        <v>12.9</v>
      </c>
      <c r="L40" s="77">
        <v>0</v>
      </c>
      <c r="M40" s="240"/>
    </row>
    <row r="41" spans="1:16" x14ac:dyDescent="0.25">
      <c r="A41" s="181"/>
      <c r="B41" s="189" t="s">
        <v>126</v>
      </c>
      <c r="C41" s="78">
        <f>SUM(C36:C40)/5</f>
        <v>15</v>
      </c>
      <c r="D41" s="78">
        <f t="shared" ref="D41:E41" si="2">SUM(D36:D40)/5</f>
        <v>15</v>
      </c>
      <c r="E41" s="78">
        <f t="shared" si="2"/>
        <v>6</v>
      </c>
      <c r="F41" s="230"/>
      <c r="G41" s="230"/>
      <c r="H41" s="230"/>
      <c r="I41" s="189" t="s">
        <v>126</v>
      </c>
      <c r="J41" s="78">
        <f>SUM(J36:J40)/5</f>
        <v>13.26</v>
      </c>
      <c r="K41" s="78">
        <f>SUM(K36:K40)/5</f>
        <v>13.16</v>
      </c>
      <c r="L41" s="78">
        <f>SUM(L36:L40)/5</f>
        <v>2.4</v>
      </c>
      <c r="M41" s="240"/>
    </row>
    <row r="42" spans="1:16" x14ac:dyDescent="0.25">
      <c r="A42" s="181"/>
      <c r="B42" s="189"/>
      <c r="C42" s="190"/>
      <c r="D42" s="190"/>
      <c r="E42" s="190"/>
      <c r="F42" s="230"/>
      <c r="G42" s="230"/>
      <c r="H42" s="230"/>
      <c r="I42" s="189"/>
      <c r="J42" s="190"/>
      <c r="K42" s="190"/>
      <c r="L42" s="190"/>
      <c r="M42" s="240"/>
    </row>
    <row r="43" spans="1:16" x14ac:dyDescent="0.25">
      <c r="A43" s="229" t="s">
        <v>236</v>
      </c>
      <c r="B43" s="230"/>
      <c r="C43" s="63"/>
      <c r="D43" s="63"/>
      <c r="E43" s="63"/>
      <c r="F43" s="63"/>
      <c r="G43" s="230"/>
      <c r="H43" s="230"/>
      <c r="I43" s="230"/>
      <c r="J43" s="230"/>
      <c r="K43" s="230"/>
      <c r="L43" s="230"/>
      <c r="M43" s="240"/>
    </row>
    <row r="44" spans="1:16" x14ac:dyDescent="0.25">
      <c r="A44" s="229"/>
      <c r="B44" s="175"/>
      <c r="C44" s="63"/>
      <c r="D44" s="63"/>
      <c r="E44" s="63"/>
      <c r="F44" s="63"/>
      <c r="G44" s="230"/>
      <c r="H44" s="230"/>
      <c r="I44" s="335"/>
      <c r="J44" s="336"/>
      <c r="K44" s="336"/>
      <c r="L44" s="336"/>
      <c r="M44" s="337"/>
    </row>
    <row r="45" spans="1:16" x14ac:dyDescent="0.25">
      <c r="A45" s="177"/>
      <c r="B45" s="178" t="s">
        <v>120</v>
      </c>
      <c r="C45" s="68" t="s">
        <v>202</v>
      </c>
      <c r="D45" s="68" t="s">
        <v>203</v>
      </c>
      <c r="E45" s="68" t="s">
        <v>137</v>
      </c>
      <c r="F45" s="230"/>
      <c r="G45" s="230"/>
      <c r="H45" s="230"/>
      <c r="I45" s="178" t="s">
        <v>120</v>
      </c>
      <c r="J45" s="68" t="s">
        <v>202</v>
      </c>
      <c r="K45" s="68" t="s">
        <v>203</v>
      </c>
      <c r="L45" s="68" t="s">
        <v>137</v>
      </c>
      <c r="M45" s="180"/>
    </row>
    <row r="46" spans="1:16" x14ac:dyDescent="0.25">
      <c r="A46" s="181"/>
      <c r="B46" s="182" t="s">
        <v>124</v>
      </c>
      <c r="C46" s="77">
        <f>+J46*1.1</f>
        <v>8.8000000000000007</v>
      </c>
      <c r="D46" s="77">
        <f>+K46*1.1</f>
        <v>8.58</v>
      </c>
      <c r="E46" s="77">
        <f>+L46*1.1</f>
        <v>5.9400000000000013</v>
      </c>
      <c r="F46" s="230"/>
      <c r="G46" s="230"/>
      <c r="H46" s="230"/>
      <c r="I46" s="182" t="s">
        <v>124</v>
      </c>
      <c r="J46" s="77">
        <v>8</v>
      </c>
      <c r="K46" s="77">
        <v>7.8</v>
      </c>
      <c r="L46" s="77">
        <v>5.4</v>
      </c>
      <c r="M46" s="240"/>
    </row>
    <row r="47" spans="1:16" x14ac:dyDescent="0.25">
      <c r="A47" s="181"/>
      <c r="B47" s="182" t="s">
        <v>48</v>
      </c>
      <c r="C47" s="77">
        <f t="shared" ref="C47:E50" si="3">+J47*1.1</f>
        <v>8.58</v>
      </c>
      <c r="D47" s="77">
        <f t="shared" si="3"/>
        <v>8.0300000000000011</v>
      </c>
      <c r="E47" s="77">
        <f t="shared" si="3"/>
        <v>5.5</v>
      </c>
      <c r="F47" s="230"/>
      <c r="G47" s="230"/>
      <c r="H47" s="230"/>
      <c r="I47" s="182" t="s">
        <v>48</v>
      </c>
      <c r="J47" s="77">
        <v>7.8</v>
      </c>
      <c r="K47" s="77">
        <v>7.3</v>
      </c>
      <c r="L47" s="77">
        <v>5</v>
      </c>
      <c r="M47" s="240"/>
    </row>
    <row r="48" spans="1:16" x14ac:dyDescent="0.25">
      <c r="A48" s="181"/>
      <c r="B48" s="182" t="s">
        <v>49</v>
      </c>
      <c r="C48" s="77">
        <f t="shared" si="3"/>
        <v>9.02</v>
      </c>
      <c r="D48" s="77">
        <f t="shared" si="3"/>
        <v>8.58</v>
      </c>
      <c r="E48" s="77">
        <f t="shared" si="3"/>
        <v>5.9400000000000013</v>
      </c>
      <c r="F48" s="230"/>
      <c r="G48" s="230"/>
      <c r="H48" s="230"/>
      <c r="I48" s="182" t="s">
        <v>49</v>
      </c>
      <c r="J48" s="77">
        <v>8.1999999999999993</v>
      </c>
      <c r="K48" s="77">
        <v>7.8</v>
      </c>
      <c r="L48" s="77">
        <v>5.4</v>
      </c>
      <c r="M48" s="240"/>
    </row>
    <row r="49" spans="1:22" x14ac:dyDescent="0.25">
      <c r="A49" s="181"/>
      <c r="B49" s="182" t="s">
        <v>50</v>
      </c>
      <c r="C49" s="77">
        <f t="shared" si="3"/>
        <v>8.58</v>
      </c>
      <c r="D49" s="77">
        <f t="shared" si="3"/>
        <v>7.9200000000000008</v>
      </c>
      <c r="E49" s="77">
        <f t="shared" si="3"/>
        <v>5.7200000000000006</v>
      </c>
      <c r="F49" s="241"/>
      <c r="G49" s="241"/>
      <c r="H49" s="230"/>
      <c r="I49" s="182" t="s">
        <v>50</v>
      </c>
      <c r="J49" s="77">
        <v>7.8</v>
      </c>
      <c r="K49" s="77">
        <v>7.2</v>
      </c>
      <c r="L49" s="77">
        <v>5.2</v>
      </c>
      <c r="M49" s="240"/>
    </row>
    <row r="50" spans="1:22" x14ac:dyDescent="0.25">
      <c r="A50" s="181"/>
      <c r="B50" s="182" t="s">
        <v>51</v>
      </c>
      <c r="C50" s="77">
        <f t="shared" si="3"/>
        <v>7.48</v>
      </c>
      <c r="D50" s="77">
        <f t="shared" si="3"/>
        <v>7.7000000000000011</v>
      </c>
      <c r="E50" s="77">
        <f t="shared" si="3"/>
        <v>5.9400000000000013</v>
      </c>
      <c r="F50" s="230"/>
      <c r="G50" s="230"/>
      <c r="H50" s="230"/>
      <c r="I50" s="182" t="s">
        <v>51</v>
      </c>
      <c r="J50" s="77">
        <v>6.8</v>
      </c>
      <c r="K50" s="77">
        <v>7</v>
      </c>
      <c r="L50" s="77">
        <v>5.4</v>
      </c>
      <c r="M50" s="240"/>
    </row>
    <row r="51" spans="1:22" x14ac:dyDescent="0.25">
      <c r="A51" s="185"/>
      <c r="B51" s="186" t="s">
        <v>126</v>
      </c>
      <c r="C51" s="78">
        <f>SUM(C46:C50)/5</f>
        <v>8.4920000000000009</v>
      </c>
      <c r="D51" s="78">
        <f t="shared" ref="D51:E51" si="4">SUM(D46:D50)/5</f>
        <v>8.1620000000000008</v>
      </c>
      <c r="E51" s="78">
        <f t="shared" si="4"/>
        <v>5.8080000000000007</v>
      </c>
      <c r="F51" s="237"/>
      <c r="G51" s="237"/>
      <c r="H51" s="237"/>
      <c r="I51" s="186" t="s">
        <v>126</v>
      </c>
      <c r="J51" s="78">
        <f>SUM(J46:J50)/5</f>
        <v>7.7200000000000006</v>
      </c>
      <c r="K51" s="78">
        <f>SUM(K46:K50)/5</f>
        <v>7.419999999999999</v>
      </c>
      <c r="L51" s="78">
        <f>SUM(L46:L50)/5</f>
        <v>5.2799999999999994</v>
      </c>
      <c r="M51" s="238"/>
    </row>
    <row r="52" spans="1:22" x14ac:dyDescent="0.25">
      <c r="A52" s="69"/>
      <c r="B52" s="73"/>
      <c r="C52" s="190"/>
      <c r="D52" s="190"/>
      <c r="E52" s="190"/>
      <c r="I52" s="73"/>
      <c r="J52" s="190"/>
      <c r="K52" s="190"/>
      <c r="L52" s="190"/>
    </row>
    <row r="54" spans="1:22" x14ac:dyDescent="0.25">
      <c r="A54" s="226" t="s">
        <v>204</v>
      </c>
      <c r="B54" s="227"/>
      <c r="C54" s="227"/>
      <c r="D54" s="227"/>
      <c r="E54" s="227"/>
      <c r="F54" s="227"/>
      <c r="G54" s="227"/>
      <c r="H54" s="227"/>
      <c r="I54" s="228" t="s">
        <v>205</v>
      </c>
      <c r="J54" s="227"/>
      <c r="K54" s="227"/>
      <c r="L54" s="227"/>
      <c r="M54" s="227"/>
      <c r="N54" s="227"/>
      <c r="O54" s="227"/>
      <c r="P54" s="228" t="s">
        <v>206</v>
      </c>
      <c r="Q54" s="227"/>
      <c r="R54" s="227"/>
      <c r="S54" s="227"/>
      <c r="T54" s="227"/>
      <c r="U54" s="239"/>
    </row>
    <row r="55" spans="1:22" x14ac:dyDescent="0.25">
      <c r="A55" s="242"/>
      <c r="B55" s="178" t="s">
        <v>120</v>
      </c>
      <c r="C55" s="68" t="s">
        <v>202</v>
      </c>
      <c r="D55" s="68" t="s">
        <v>203</v>
      </c>
      <c r="E55" s="68" t="s">
        <v>137</v>
      </c>
      <c r="F55" s="68" t="s">
        <v>79</v>
      </c>
      <c r="G55" s="230"/>
      <c r="H55" s="230"/>
      <c r="I55" s="230"/>
      <c r="J55" s="178" t="s">
        <v>120</v>
      </c>
      <c r="K55" s="68" t="s">
        <v>202</v>
      </c>
      <c r="L55" s="68" t="s">
        <v>203</v>
      </c>
      <c r="M55" s="68" t="s">
        <v>137</v>
      </c>
      <c r="N55" s="68" t="s">
        <v>79</v>
      </c>
      <c r="O55" s="230"/>
      <c r="P55" s="230"/>
      <c r="Q55" s="178" t="s">
        <v>120</v>
      </c>
      <c r="R55" s="68" t="s">
        <v>202</v>
      </c>
      <c r="S55" s="68" t="s">
        <v>203</v>
      </c>
      <c r="T55" s="68" t="s">
        <v>137</v>
      </c>
      <c r="U55" s="180" t="s">
        <v>79</v>
      </c>
    </row>
    <row r="56" spans="1:22" x14ac:dyDescent="0.25">
      <c r="A56" s="242"/>
      <c r="B56" s="182" t="s">
        <v>124</v>
      </c>
      <c r="C56" s="183">
        <f>+C26*K26*C36</f>
        <v>13297.750269814504</v>
      </c>
      <c r="D56" s="183">
        <f>+D26*D36*L26</f>
        <v>12222.622554844605</v>
      </c>
      <c r="E56" s="183">
        <f>+E26*E36*M26</f>
        <v>2593.6800000000003</v>
      </c>
      <c r="F56" s="183">
        <f>SUM(C56:E56)</f>
        <v>28114.052824659109</v>
      </c>
      <c r="G56" s="230"/>
      <c r="H56" s="230"/>
      <c r="I56" s="230"/>
      <c r="J56" s="182" t="s">
        <v>124</v>
      </c>
      <c r="K56" s="183">
        <f>+C26*Q26*C46</f>
        <v>624.47717504215882</v>
      </c>
      <c r="L56" s="183">
        <f t="shared" ref="L56:M60" si="5">+D26*R26*D46</f>
        <v>677.89289862888518</v>
      </c>
      <c r="M56" s="183">
        <f t="shared" si="5"/>
        <v>1711.8288000000005</v>
      </c>
      <c r="N56" s="183">
        <f>SUM(K56:M56)</f>
        <v>3014.1988736710446</v>
      </c>
      <c r="O56" s="230"/>
      <c r="P56" s="230"/>
      <c r="Q56" s="182" t="s">
        <v>124</v>
      </c>
      <c r="R56" s="183">
        <f>+C56+K56</f>
        <v>13922.227444856662</v>
      </c>
      <c r="S56" s="183">
        <f t="shared" ref="S56:T60" si="6">+D56+L56</f>
        <v>12900.51545347349</v>
      </c>
      <c r="T56" s="183">
        <f t="shared" si="6"/>
        <v>4305.5088000000005</v>
      </c>
      <c r="U56" s="191">
        <f>SUM(R56:T56)</f>
        <v>31128.25169833015</v>
      </c>
    </row>
    <row r="57" spans="1:22" x14ac:dyDescent="0.25">
      <c r="A57" s="242"/>
      <c r="B57" s="182" t="s">
        <v>48</v>
      </c>
      <c r="C57" s="183">
        <f t="shared" ref="C57:C60" si="7">+C27*K27*C37</f>
        <v>6698.3151517497681</v>
      </c>
      <c r="D57" s="183">
        <f t="shared" ref="D57:D60" si="8">+D27*D37*L27</f>
        <v>4668.1215105162519</v>
      </c>
      <c r="E57" s="183">
        <f t="shared" ref="E57:E60" si="9">+E27*E37</f>
        <v>1521.06</v>
      </c>
      <c r="F57" s="183">
        <f t="shared" ref="F57:F60" si="10">SUM(C57:E57)</f>
        <v>12887.496662266019</v>
      </c>
      <c r="G57" s="230"/>
      <c r="H57" s="230"/>
      <c r="I57" s="230"/>
      <c r="J57" s="182" t="s">
        <v>48</v>
      </c>
      <c r="K57" s="183">
        <f t="shared" ref="K57:K60" si="11">+C27*Q27*C47</f>
        <v>1732.0073331991325</v>
      </c>
      <c r="L57" s="183">
        <f t="shared" si="5"/>
        <v>1904.8918513702997</v>
      </c>
      <c r="M57" s="183">
        <f t="shared" si="5"/>
        <v>1394.3049999999998</v>
      </c>
      <c r="N57" s="183">
        <f t="shared" ref="N57:N60" si="12">SUM(K57:M57)</f>
        <v>5031.2041845694321</v>
      </c>
      <c r="O57" s="230"/>
      <c r="P57" s="230"/>
      <c r="Q57" s="182" t="s">
        <v>48</v>
      </c>
      <c r="R57" s="183">
        <f t="shared" ref="R57:R60" si="13">+C57+K57</f>
        <v>8430.3224849489015</v>
      </c>
      <c r="S57" s="183">
        <f t="shared" si="6"/>
        <v>6573.0133618865511</v>
      </c>
      <c r="T57" s="183">
        <f t="shared" si="6"/>
        <v>2915.3649999999998</v>
      </c>
      <c r="U57" s="191">
        <f t="shared" ref="U57:U60" si="14">SUM(R57:T57)</f>
        <v>17918.700846835454</v>
      </c>
    </row>
    <row r="58" spans="1:22" x14ac:dyDescent="0.25">
      <c r="A58" s="242"/>
      <c r="B58" s="182" t="s">
        <v>49</v>
      </c>
      <c r="C58" s="183">
        <f t="shared" si="7"/>
        <v>2821.4034375000001</v>
      </c>
      <c r="D58" s="183">
        <f t="shared" si="8"/>
        <v>2732.6905206942588</v>
      </c>
      <c r="E58" s="183">
        <f t="shared" si="9"/>
        <v>769.62000000000012</v>
      </c>
      <c r="F58" s="183">
        <f t="shared" si="10"/>
        <v>6323.7139581942583</v>
      </c>
      <c r="G58" s="230"/>
      <c r="H58" s="230"/>
      <c r="I58" s="230"/>
      <c r="J58" s="182" t="s">
        <v>49</v>
      </c>
      <c r="K58" s="183">
        <f t="shared" si="11"/>
        <v>571.83586624999998</v>
      </c>
      <c r="L58" s="183">
        <f t="shared" si="5"/>
        <v>447.36662216288391</v>
      </c>
      <c r="M58" s="183">
        <f t="shared" si="5"/>
        <v>761.92380000000026</v>
      </c>
      <c r="N58" s="183">
        <f t="shared" si="12"/>
        <v>1781.1262884128842</v>
      </c>
      <c r="O58" s="230"/>
      <c r="P58" s="230"/>
      <c r="Q58" s="182" t="s">
        <v>49</v>
      </c>
      <c r="R58" s="183">
        <f t="shared" si="13"/>
        <v>3393.2393037500001</v>
      </c>
      <c r="S58" s="183">
        <f t="shared" si="6"/>
        <v>3180.0571428571429</v>
      </c>
      <c r="T58" s="183">
        <f t="shared" si="6"/>
        <v>1531.5438000000004</v>
      </c>
      <c r="U58" s="191">
        <f t="shared" si="14"/>
        <v>8104.8402466071429</v>
      </c>
    </row>
    <row r="59" spans="1:22" x14ac:dyDescent="0.25">
      <c r="A59" s="242"/>
      <c r="B59" s="182" t="s">
        <v>50</v>
      </c>
      <c r="C59" s="183">
        <f t="shared" si="7"/>
        <v>1623.1620398310201</v>
      </c>
      <c r="D59" s="183">
        <f t="shared" si="8"/>
        <v>1532.2566866267464</v>
      </c>
      <c r="E59" s="183">
        <f t="shared" si="9"/>
        <v>751.43999999999994</v>
      </c>
      <c r="F59" s="183">
        <f t="shared" si="10"/>
        <v>3906.8587264577668</v>
      </c>
      <c r="G59" s="230"/>
      <c r="H59" s="230"/>
      <c r="I59" s="230"/>
      <c r="J59" s="182" t="s">
        <v>50</v>
      </c>
      <c r="K59" s="183">
        <f t="shared" si="11"/>
        <v>848.04031321665661</v>
      </c>
      <c r="L59" s="183">
        <f t="shared" si="5"/>
        <v>614.82606946107774</v>
      </c>
      <c r="M59" s="183">
        <f t="shared" si="5"/>
        <v>716.3728000000001</v>
      </c>
      <c r="N59" s="183">
        <f t="shared" si="12"/>
        <v>2179.2391826777343</v>
      </c>
      <c r="O59" s="230"/>
      <c r="P59" s="230"/>
      <c r="Q59" s="182" t="s">
        <v>50</v>
      </c>
      <c r="R59" s="183">
        <f t="shared" si="13"/>
        <v>2471.2023530476768</v>
      </c>
      <c r="S59" s="183">
        <f t="shared" si="6"/>
        <v>2147.0827560878242</v>
      </c>
      <c r="T59" s="183">
        <f t="shared" si="6"/>
        <v>1467.8128000000002</v>
      </c>
      <c r="U59" s="191">
        <f t="shared" si="14"/>
        <v>6086.0979091355002</v>
      </c>
    </row>
    <row r="60" spans="1:22" x14ac:dyDescent="0.25">
      <c r="A60" s="242"/>
      <c r="B60" s="182" t="s">
        <v>51</v>
      </c>
      <c r="C60" s="183">
        <f t="shared" si="7"/>
        <v>1981.2504440497332</v>
      </c>
      <c r="D60" s="183">
        <f t="shared" si="8"/>
        <v>1839.9273889227024</v>
      </c>
      <c r="E60" s="183">
        <f t="shared" si="9"/>
        <v>539.34</v>
      </c>
      <c r="F60" s="183">
        <f t="shared" si="10"/>
        <v>4360.5178329724358</v>
      </c>
      <c r="G60" s="230"/>
      <c r="H60" s="230"/>
      <c r="I60" s="230"/>
      <c r="J60" s="182" t="s">
        <v>51</v>
      </c>
      <c r="K60" s="183">
        <f t="shared" si="11"/>
        <v>341.66124523386623</v>
      </c>
      <c r="L60" s="183">
        <f t="shared" si="5"/>
        <v>439.80994035301279</v>
      </c>
      <c r="M60" s="183">
        <f t="shared" si="5"/>
        <v>533.9466000000001</v>
      </c>
      <c r="N60" s="183">
        <f t="shared" si="12"/>
        <v>1315.4177855868793</v>
      </c>
      <c r="O60" s="230"/>
      <c r="P60" s="230"/>
      <c r="Q60" s="182" t="s">
        <v>51</v>
      </c>
      <c r="R60" s="183">
        <f t="shared" si="13"/>
        <v>2322.9116892835996</v>
      </c>
      <c r="S60" s="183">
        <f t="shared" si="6"/>
        <v>2279.7373292757152</v>
      </c>
      <c r="T60" s="183">
        <f t="shared" si="6"/>
        <v>1073.2866000000001</v>
      </c>
      <c r="U60" s="191">
        <f t="shared" si="14"/>
        <v>5675.9356185593151</v>
      </c>
    </row>
    <row r="61" spans="1:22" x14ac:dyDescent="0.25">
      <c r="A61" s="243"/>
      <c r="B61" s="186" t="s">
        <v>79</v>
      </c>
      <c r="C61" s="74">
        <f>SUM(C56:C60)</f>
        <v>26421.881342945024</v>
      </c>
      <c r="D61" s="74">
        <f t="shared" ref="D61:F61" si="15">SUM(D56:D60)</f>
        <v>22995.618661604567</v>
      </c>
      <c r="E61" s="74">
        <f t="shared" si="15"/>
        <v>6175.1399999999994</v>
      </c>
      <c r="F61" s="74">
        <f t="shared" si="15"/>
        <v>55592.64000454959</v>
      </c>
      <c r="G61" s="237"/>
      <c r="H61" s="237"/>
      <c r="I61" s="237"/>
      <c r="J61" s="186" t="s">
        <v>79</v>
      </c>
      <c r="K61" s="74">
        <f>SUM(K56:K60)</f>
        <v>4118.0219329418142</v>
      </c>
      <c r="L61" s="74">
        <f t="shared" ref="L61:N61" si="16">SUM(L56:L60)</f>
        <v>4084.7873819761589</v>
      </c>
      <c r="M61" s="74">
        <f t="shared" si="16"/>
        <v>5118.3770000000013</v>
      </c>
      <c r="N61" s="74">
        <f t="shared" si="16"/>
        <v>13321.186314917974</v>
      </c>
      <c r="O61" s="237"/>
      <c r="P61" s="237"/>
      <c r="Q61" s="186" t="s">
        <v>79</v>
      </c>
      <c r="R61" s="74">
        <f>SUM(R56:R60)</f>
        <v>30539.903275886842</v>
      </c>
      <c r="S61" s="74">
        <f t="shared" ref="S61:U61" si="17">SUM(S56:S60)</f>
        <v>27080.406043580722</v>
      </c>
      <c r="T61" s="74">
        <f t="shared" si="17"/>
        <v>11293.517</v>
      </c>
      <c r="U61" s="192">
        <f t="shared" si="17"/>
        <v>68913.826319467567</v>
      </c>
      <c r="V61" s="80"/>
    </row>
    <row r="62" spans="1:22" x14ac:dyDescent="0.25">
      <c r="D62" s="225"/>
      <c r="E62" s="225"/>
    </row>
    <row r="63" spans="1:22" x14ac:dyDescent="0.25">
      <c r="A63" s="244" t="s">
        <v>131</v>
      </c>
    </row>
    <row r="64" spans="1:22" x14ac:dyDescent="0.25">
      <c r="B64" s="245" t="s">
        <v>132</v>
      </c>
    </row>
    <row r="65" spans="1:7" x14ac:dyDescent="0.25">
      <c r="B65" s="70" t="s">
        <v>124</v>
      </c>
      <c r="C65" s="61">
        <f>+R56*135</f>
        <v>1879500.7050556494</v>
      </c>
      <c r="D65" s="61">
        <f t="shared" ref="D65:E69" si="18">+S56*135</f>
        <v>1741569.5862189212</v>
      </c>
      <c r="E65" s="61">
        <f t="shared" si="18"/>
        <v>581243.68800000008</v>
      </c>
      <c r="F65" s="61">
        <f>SUM(C65:E65)</f>
        <v>4202313.9792745709</v>
      </c>
    </row>
    <row r="66" spans="1:7" x14ac:dyDescent="0.25">
      <c r="B66" s="70" t="s">
        <v>48</v>
      </c>
      <c r="C66" s="61">
        <f t="shared" ref="C66:C69" si="19">+R57*135</f>
        <v>1138093.5354681017</v>
      </c>
      <c r="D66" s="61">
        <f t="shared" si="18"/>
        <v>887356.80385468435</v>
      </c>
      <c r="E66" s="61">
        <f t="shared" si="18"/>
        <v>393574.27499999997</v>
      </c>
      <c r="F66" s="61">
        <f t="shared" ref="F66:F69" si="20">SUM(C66:E66)</f>
        <v>2419024.6143227862</v>
      </c>
    </row>
    <row r="67" spans="1:7" x14ac:dyDescent="0.25">
      <c r="B67" s="70" t="s">
        <v>49</v>
      </c>
      <c r="C67" s="61">
        <f t="shared" si="19"/>
        <v>458087.30600625003</v>
      </c>
      <c r="D67" s="61">
        <f t="shared" si="18"/>
        <v>429307.71428571432</v>
      </c>
      <c r="E67" s="61">
        <f t="shared" si="18"/>
        <v>206758.41300000006</v>
      </c>
      <c r="F67" s="61">
        <f t="shared" si="20"/>
        <v>1094153.4332919642</v>
      </c>
    </row>
    <row r="68" spans="1:7" x14ac:dyDescent="0.25">
      <c r="B68" s="70" t="s">
        <v>50</v>
      </c>
      <c r="C68" s="61">
        <f t="shared" si="19"/>
        <v>333612.31766143633</v>
      </c>
      <c r="D68" s="61">
        <f t="shared" si="18"/>
        <v>289856.17207185627</v>
      </c>
      <c r="E68" s="61">
        <f t="shared" si="18"/>
        <v>198154.72800000003</v>
      </c>
      <c r="F68" s="61">
        <f t="shared" si="20"/>
        <v>821623.21773329261</v>
      </c>
    </row>
    <row r="69" spans="1:7" x14ac:dyDescent="0.25">
      <c r="B69" s="70" t="s">
        <v>51</v>
      </c>
      <c r="C69" s="61">
        <f t="shared" si="19"/>
        <v>313593.07805328595</v>
      </c>
      <c r="D69" s="61">
        <f t="shared" si="18"/>
        <v>307764.53945222154</v>
      </c>
      <c r="E69" s="61">
        <f t="shared" si="18"/>
        <v>144893.69100000002</v>
      </c>
      <c r="F69" s="61">
        <f t="shared" si="20"/>
        <v>766251.30850550754</v>
      </c>
    </row>
    <row r="70" spans="1:7" x14ac:dyDescent="0.25">
      <c r="B70" s="73" t="s">
        <v>79</v>
      </c>
      <c r="C70" s="74">
        <f>SUM(C65:C69)</f>
        <v>4122886.942244723</v>
      </c>
      <c r="D70" s="74">
        <f t="shared" ref="D70:F70" si="21">SUM(D65:D69)</f>
        <v>3655854.8158833985</v>
      </c>
      <c r="E70" s="74">
        <f t="shared" si="21"/>
        <v>1524624.7950000004</v>
      </c>
      <c r="F70" s="74">
        <f t="shared" si="21"/>
        <v>9303366.5531281214</v>
      </c>
    </row>
    <row r="71" spans="1:7" x14ac:dyDescent="0.25">
      <c r="F71" s="61"/>
    </row>
    <row r="72" spans="1:7" x14ac:dyDescent="0.25">
      <c r="B72" s="245" t="s">
        <v>133</v>
      </c>
    </row>
    <row r="73" spans="1:7" x14ac:dyDescent="0.25">
      <c r="B73" s="70" t="s">
        <v>124</v>
      </c>
      <c r="C73" s="61">
        <f>+C65*0.925</f>
        <v>1738538.1521764759</v>
      </c>
      <c r="D73" s="61">
        <f t="shared" ref="D73:E73" si="22">+D65*0.925</f>
        <v>1610951.8672525021</v>
      </c>
      <c r="E73" s="61">
        <f t="shared" si="22"/>
        <v>537650.4114000001</v>
      </c>
      <c r="F73" s="61">
        <f>SUM(C73:E73)</f>
        <v>3887140.4308289778</v>
      </c>
    </row>
    <row r="74" spans="1:7" x14ac:dyDescent="0.25">
      <c r="B74" s="70" t="s">
        <v>48</v>
      </c>
      <c r="C74" s="61">
        <f t="shared" ref="C74:E77" si="23">+C66*0.925</f>
        <v>1052736.5203079942</v>
      </c>
      <c r="D74" s="61">
        <f t="shared" si="23"/>
        <v>820805.04356558307</v>
      </c>
      <c r="E74" s="61">
        <f t="shared" si="23"/>
        <v>364056.20437499997</v>
      </c>
      <c r="F74" s="61">
        <f t="shared" ref="F74:F77" si="24">SUM(C74:E74)</f>
        <v>2237597.7682485776</v>
      </c>
    </row>
    <row r="75" spans="1:7" x14ac:dyDescent="0.25">
      <c r="B75" s="70" t="s">
        <v>49</v>
      </c>
      <c r="C75" s="61">
        <f t="shared" si="23"/>
        <v>423730.75805578131</v>
      </c>
      <c r="D75" s="61">
        <f t="shared" si="23"/>
        <v>397109.63571428577</v>
      </c>
      <c r="E75" s="61">
        <f t="shared" si="23"/>
        <v>191251.53202500005</v>
      </c>
      <c r="F75" s="61">
        <f t="shared" si="24"/>
        <v>1012091.9257950671</v>
      </c>
    </row>
    <row r="76" spans="1:7" x14ac:dyDescent="0.25">
      <c r="B76" s="70" t="s">
        <v>50</v>
      </c>
      <c r="C76" s="61">
        <f t="shared" si="23"/>
        <v>308591.39383682865</v>
      </c>
      <c r="D76" s="61">
        <f t="shared" si="23"/>
        <v>268116.95916646707</v>
      </c>
      <c r="E76" s="61">
        <f t="shared" si="23"/>
        <v>183293.12340000004</v>
      </c>
      <c r="F76" s="61">
        <f t="shared" si="24"/>
        <v>760001.47640329576</v>
      </c>
    </row>
    <row r="77" spans="1:7" x14ac:dyDescent="0.25">
      <c r="B77" s="70" t="s">
        <v>51</v>
      </c>
      <c r="C77" s="61">
        <f t="shared" si="23"/>
        <v>290073.59719928954</v>
      </c>
      <c r="D77" s="61">
        <f t="shared" si="23"/>
        <v>284682.19899330492</v>
      </c>
      <c r="E77" s="61">
        <f t="shared" si="23"/>
        <v>134026.66417500001</v>
      </c>
      <c r="F77" s="61">
        <f t="shared" si="24"/>
        <v>708782.4603675945</v>
      </c>
    </row>
    <row r="78" spans="1:7" ht="15.75" thickBot="1" x14ac:dyDescent="0.3">
      <c r="B78" s="73" t="s">
        <v>79</v>
      </c>
      <c r="C78" s="49">
        <f>SUM(C73:C77)</f>
        <v>3813670.42157637</v>
      </c>
      <c r="D78" s="49">
        <f t="shared" ref="D78:F78" si="25">SUM(D73:D77)</f>
        <v>3381665.704692143</v>
      </c>
      <c r="E78" s="49">
        <f t="shared" si="25"/>
        <v>1410277.9353750004</v>
      </c>
      <c r="F78" s="49">
        <f t="shared" si="25"/>
        <v>8605614.0616435129</v>
      </c>
    </row>
    <row r="79" spans="1:7" x14ac:dyDescent="0.25">
      <c r="B79" s="73"/>
      <c r="C79" s="80"/>
      <c r="D79" s="80"/>
      <c r="E79" s="80"/>
      <c r="F79" s="80"/>
    </row>
    <row r="80" spans="1:7" x14ac:dyDescent="0.25">
      <c r="A80" s="237"/>
      <c r="B80" s="237"/>
      <c r="C80" s="237"/>
      <c r="D80" s="237"/>
      <c r="E80" s="237"/>
      <c r="F80" s="237"/>
      <c r="G80" s="237"/>
    </row>
    <row r="81" spans="1:7" x14ac:dyDescent="0.25">
      <c r="A81" s="244" t="s">
        <v>134</v>
      </c>
    </row>
    <row r="82" spans="1:7" x14ac:dyDescent="0.25">
      <c r="B82" s="70" t="s">
        <v>124</v>
      </c>
      <c r="C82" s="61">
        <f t="shared" ref="C82:E86" si="26">+C26*50</f>
        <v>47874</v>
      </c>
      <c r="D82" s="61">
        <f t="shared" si="26"/>
        <v>44692.5</v>
      </c>
      <c r="E82" s="61">
        <f t="shared" si="26"/>
        <v>21614</v>
      </c>
      <c r="F82" s="61">
        <f>SUM(C82:E82)</f>
        <v>114180.5</v>
      </c>
    </row>
    <row r="83" spans="1:7" x14ac:dyDescent="0.25">
      <c r="B83" s="70" t="s">
        <v>48</v>
      </c>
      <c r="C83" s="61">
        <f t="shared" si="26"/>
        <v>32420.999999999996</v>
      </c>
      <c r="D83" s="61">
        <f t="shared" si="26"/>
        <v>27421.499999999996</v>
      </c>
      <c r="E83" s="61">
        <f t="shared" si="26"/>
        <v>12675.5</v>
      </c>
      <c r="F83" s="61">
        <f t="shared" ref="F83:F86" si="27">SUM(C83:E83)</f>
        <v>72518</v>
      </c>
    </row>
    <row r="84" spans="1:7" x14ac:dyDescent="0.25">
      <c r="B84" s="70" t="s">
        <v>49</v>
      </c>
      <c r="C84" s="61">
        <f t="shared" si="26"/>
        <v>12574.5</v>
      </c>
      <c r="D84" s="61">
        <f t="shared" si="26"/>
        <v>11716</v>
      </c>
      <c r="E84" s="61">
        <f t="shared" si="26"/>
        <v>6413.5000000000009</v>
      </c>
      <c r="F84" s="61">
        <f t="shared" si="27"/>
        <v>30704</v>
      </c>
    </row>
    <row r="85" spans="1:7" x14ac:dyDescent="0.25">
      <c r="B85" s="70" t="s">
        <v>50</v>
      </c>
      <c r="C85" s="61">
        <f t="shared" si="26"/>
        <v>10352.5</v>
      </c>
      <c r="D85" s="61">
        <f t="shared" si="26"/>
        <v>8989</v>
      </c>
      <c r="E85" s="61">
        <f t="shared" si="26"/>
        <v>6262</v>
      </c>
      <c r="F85" s="61">
        <f t="shared" si="27"/>
        <v>25603.5</v>
      </c>
    </row>
    <row r="86" spans="1:7" x14ac:dyDescent="0.25">
      <c r="B86" s="70" t="s">
        <v>51</v>
      </c>
      <c r="C86" s="61">
        <f t="shared" si="26"/>
        <v>8888</v>
      </c>
      <c r="D86" s="61">
        <f t="shared" si="26"/>
        <v>8989</v>
      </c>
      <c r="E86" s="61">
        <f t="shared" si="26"/>
        <v>4494.5</v>
      </c>
      <c r="F86" s="61">
        <f t="shared" si="27"/>
        <v>22371.5</v>
      </c>
    </row>
    <row r="87" spans="1:7" ht="15.75" thickBot="1" x14ac:dyDescent="0.3">
      <c r="B87" s="73" t="s">
        <v>79</v>
      </c>
      <c r="C87" s="49">
        <f>SUM(C82:C86)</f>
        <v>112110</v>
      </c>
      <c r="D87" s="49">
        <f t="shared" ref="D87:F87" si="28">SUM(D82:D86)</f>
        <v>101808</v>
      </c>
      <c r="E87" s="49">
        <f t="shared" si="28"/>
        <v>51459.5</v>
      </c>
      <c r="F87" s="49">
        <f t="shared" si="28"/>
        <v>265377.5</v>
      </c>
    </row>
    <row r="91" spans="1:7" x14ac:dyDescent="0.25">
      <c r="A91" s="237"/>
      <c r="B91" s="237"/>
      <c r="C91" s="237"/>
      <c r="D91" s="237"/>
      <c r="E91" s="237"/>
      <c r="F91" s="237"/>
      <c r="G91" s="237"/>
    </row>
    <row r="92" spans="1:7" x14ac:dyDescent="0.25">
      <c r="A92" s="246" t="s">
        <v>135</v>
      </c>
      <c r="C92" s="247" t="s">
        <v>136</v>
      </c>
      <c r="D92" s="247" t="s">
        <v>137</v>
      </c>
    </row>
    <row r="93" spans="1:7" x14ac:dyDescent="0.25">
      <c r="B93" s="220" t="s">
        <v>138</v>
      </c>
      <c r="C93" s="248">
        <v>200</v>
      </c>
      <c r="D93" s="220">
        <v>50</v>
      </c>
      <c r="E93" s="249"/>
    </row>
    <row r="94" spans="1:7" x14ac:dyDescent="0.25">
      <c r="B94" s="220" t="s">
        <v>139</v>
      </c>
      <c r="C94" s="248">
        <v>70</v>
      </c>
      <c r="D94" s="220">
        <v>25</v>
      </c>
      <c r="E94" s="249"/>
    </row>
    <row r="95" spans="1:7" x14ac:dyDescent="0.25">
      <c r="A95" s="38"/>
      <c r="B95" s="86"/>
      <c r="C95" s="38"/>
      <c r="D95" s="38"/>
      <c r="E95" s="38"/>
      <c r="F95" s="38"/>
    </row>
    <row r="96" spans="1:7" x14ac:dyDescent="0.25">
      <c r="B96" s="250" t="s">
        <v>207</v>
      </c>
    </row>
    <row r="97" spans="2:9" x14ac:dyDescent="0.25">
      <c r="B97" s="70" t="s">
        <v>124</v>
      </c>
      <c r="C97" s="251">
        <f>C26*K26*200</f>
        <v>177303.33693086004</v>
      </c>
      <c r="D97" s="251">
        <f t="shared" ref="D97:D101" si="29">D26*L26*200</f>
        <v>162968.30073126141</v>
      </c>
      <c r="E97" s="251">
        <f>E26*M26*50</f>
        <v>21614</v>
      </c>
      <c r="F97" s="61">
        <f>SUM(C97:E97)</f>
        <v>361885.63766212144</v>
      </c>
    </row>
    <row r="98" spans="2:9" x14ac:dyDescent="0.25">
      <c r="B98" s="70" t="s">
        <v>48</v>
      </c>
      <c r="C98" s="251">
        <f t="shared" ref="C98:C101" si="30">C27*K27*200</f>
        <v>89310.868689996903</v>
      </c>
      <c r="D98" s="251">
        <f t="shared" si="29"/>
        <v>62241.620140216699</v>
      </c>
      <c r="E98" s="251">
        <f t="shared" ref="E98:E101" si="31">E27*M27*50</f>
        <v>0</v>
      </c>
      <c r="F98" s="61">
        <f t="shared" ref="F98:F101" si="32">SUM(C98:E98)</f>
        <v>151552.48883021361</v>
      </c>
    </row>
    <row r="99" spans="2:9" x14ac:dyDescent="0.25">
      <c r="B99" s="70" t="s">
        <v>49</v>
      </c>
      <c r="C99" s="251">
        <f t="shared" si="30"/>
        <v>37618.712500000001</v>
      </c>
      <c r="D99" s="251">
        <f t="shared" si="29"/>
        <v>36435.873609256785</v>
      </c>
      <c r="E99" s="251">
        <f t="shared" si="31"/>
        <v>0</v>
      </c>
      <c r="F99" s="61">
        <f t="shared" si="32"/>
        <v>74054.586109256779</v>
      </c>
    </row>
    <row r="100" spans="2:9" x14ac:dyDescent="0.25">
      <c r="B100" s="70" t="s">
        <v>50</v>
      </c>
      <c r="C100" s="251">
        <f t="shared" si="30"/>
        <v>21642.160531080266</v>
      </c>
      <c r="D100" s="251">
        <f t="shared" si="29"/>
        <v>20430.089155023288</v>
      </c>
      <c r="E100" s="251">
        <f t="shared" si="31"/>
        <v>0</v>
      </c>
      <c r="F100" s="61">
        <f t="shared" si="32"/>
        <v>42072.249686103554</v>
      </c>
    </row>
    <row r="101" spans="2:9" x14ac:dyDescent="0.25">
      <c r="B101" s="70" t="s">
        <v>51</v>
      </c>
      <c r="C101" s="251">
        <f t="shared" si="30"/>
        <v>26416.672587329776</v>
      </c>
      <c r="D101" s="251">
        <f t="shared" si="29"/>
        <v>24532.365185636034</v>
      </c>
      <c r="E101" s="251">
        <f t="shared" si="31"/>
        <v>0</v>
      </c>
      <c r="F101" s="61">
        <f t="shared" si="32"/>
        <v>50949.037772965807</v>
      </c>
    </row>
    <row r="102" spans="2:9" ht="15.75" thickBot="1" x14ac:dyDescent="0.3">
      <c r="B102" s="73" t="s">
        <v>79</v>
      </c>
      <c r="C102" s="49">
        <f>SUM(C97:C101)</f>
        <v>352291.751239267</v>
      </c>
      <c r="D102" s="49">
        <f t="shared" ref="D102:F102" si="33">SUM(D97:D101)</f>
        <v>306608.24882139423</v>
      </c>
      <c r="E102" s="49">
        <f t="shared" si="33"/>
        <v>21614</v>
      </c>
      <c r="F102" s="49">
        <f t="shared" si="33"/>
        <v>680514.00006066123</v>
      </c>
    </row>
    <row r="103" spans="2:9" x14ac:dyDescent="0.25">
      <c r="B103" s="73"/>
      <c r="C103" s="80"/>
      <c r="D103" s="80"/>
      <c r="E103" s="80"/>
      <c r="F103" s="80"/>
    </row>
    <row r="104" spans="2:9" x14ac:dyDescent="0.25">
      <c r="B104" s="70" t="s">
        <v>208</v>
      </c>
    </row>
    <row r="105" spans="2:9" x14ac:dyDescent="0.25">
      <c r="B105" s="70" t="s">
        <v>124</v>
      </c>
      <c r="C105" s="88">
        <f>C26*Q26*70</f>
        <v>4967.4320741989895</v>
      </c>
      <c r="D105" s="88">
        <f>D26*R26*70</f>
        <v>5530.5947440585041</v>
      </c>
      <c r="E105" s="88">
        <f>E26*S26*25</f>
        <v>7204.666666666667</v>
      </c>
      <c r="F105" s="61">
        <f>SUM(C105:E105)</f>
        <v>17702.693484924162</v>
      </c>
      <c r="I105" s="255">
        <f>+F105+F97+F82+F73-4000</f>
        <v>4376909.2619760232</v>
      </c>
    </row>
    <row r="106" spans="2:9" x14ac:dyDescent="0.25">
      <c r="B106" s="70" t="s">
        <v>48</v>
      </c>
      <c r="C106" s="88">
        <f t="shared" ref="C106:D109" si="34">C27*Q27*70</f>
        <v>14130.595958501081</v>
      </c>
      <c r="D106" s="88">
        <f t="shared" si="34"/>
        <v>16605.532950924156</v>
      </c>
      <c r="E106" s="88">
        <f t="shared" ref="E106:E109" si="35">E27*S27*25</f>
        <v>6337.75</v>
      </c>
      <c r="F106" s="61">
        <f t="shared" ref="F106:F109" si="36">SUM(C106:E106)</f>
        <v>37073.878909425235</v>
      </c>
      <c r="I106" s="255">
        <f t="shared" ref="I106:I109" si="37">+F106+F98+F83+F74</f>
        <v>2498742.1359882164</v>
      </c>
    </row>
    <row r="107" spans="2:9" x14ac:dyDescent="0.25">
      <c r="B107" s="70" t="s">
        <v>49</v>
      </c>
      <c r="C107" s="88">
        <f t="shared" si="34"/>
        <v>4437.7506249999997</v>
      </c>
      <c r="D107" s="88">
        <f t="shared" si="34"/>
        <v>3649.8442367601251</v>
      </c>
      <c r="E107" s="88">
        <f t="shared" si="35"/>
        <v>3206.7500000000005</v>
      </c>
      <c r="F107" s="61">
        <f t="shared" si="36"/>
        <v>11294.344861760124</v>
      </c>
      <c r="I107" s="255">
        <f t="shared" si="37"/>
        <v>1128144.856766084</v>
      </c>
    </row>
    <row r="108" spans="2:9" x14ac:dyDescent="0.25">
      <c r="B108" s="70" t="s">
        <v>50</v>
      </c>
      <c r="C108" s="88">
        <f t="shared" si="34"/>
        <v>6918.7438141219072</v>
      </c>
      <c r="D108" s="88">
        <f t="shared" si="34"/>
        <v>5434.0687957418486</v>
      </c>
      <c r="E108" s="88">
        <f t="shared" si="35"/>
        <v>3131</v>
      </c>
      <c r="F108" s="61">
        <f t="shared" si="36"/>
        <v>15483.812609863755</v>
      </c>
      <c r="I108" s="255">
        <f t="shared" si="37"/>
        <v>843161.03869926301</v>
      </c>
    </row>
    <row r="109" spans="2:9" x14ac:dyDescent="0.25">
      <c r="B109" s="70" t="s">
        <v>51</v>
      </c>
      <c r="C109" s="88">
        <f t="shared" si="34"/>
        <v>3197.3645944345767</v>
      </c>
      <c r="D109" s="88">
        <f t="shared" si="34"/>
        <v>3998.2721850273888</v>
      </c>
      <c r="E109" s="88">
        <f t="shared" si="35"/>
        <v>2247.25</v>
      </c>
      <c r="F109" s="61">
        <f t="shared" si="36"/>
        <v>9442.8867794619655</v>
      </c>
      <c r="I109" s="255">
        <f t="shared" si="37"/>
        <v>791545.88492002222</v>
      </c>
    </row>
    <row r="110" spans="2:9" ht="15.75" thickBot="1" x14ac:dyDescent="0.3">
      <c r="B110" s="73" t="s">
        <v>79</v>
      </c>
      <c r="C110" s="49">
        <f>SUM(C105:C109)</f>
        <v>33651.887066256553</v>
      </c>
      <c r="D110" s="49">
        <f t="shared" ref="D110:F110" si="38">SUM(D105:D109)</f>
        <v>35218.312912512025</v>
      </c>
      <c r="E110" s="49">
        <f t="shared" si="38"/>
        <v>22127.416666666668</v>
      </c>
      <c r="F110" s="49">
        <f t="shared" si="38"/>
        <v>90997.61664543525</v>
      </c>
      <c r="I110" s="80">
        <f>SUM(I105:I109)</f>
        <v>9638503.1783496086</v>
      </c>
    </row>
    <row r="111" spans="2:9" x14ac:dyDescent="0.25">
      <c r="I111" s="225">
        <f>+I110-J15</f>
        <v>0</v>
      </c>
    </row>
    <row r="112" spans="2:9" ht="15.75" thickBot="1" x14ac:dyDescent="0.3">
      <c r="B112" s="70" t="s">
        <v>79</v>
      </c>
      <c r="C112" s="252"/>
      <c r="D112" s="252"/>
      <c r="E112" s="252"/>
      <c r="F112" s="253">
        <f>F102+F110</f>
        <v>771511.61670609645</v>
      </c>
    </row>
  </sheetData>
  <mergeCells count="2">
    <mergeCell ref="I34:M34"/>
    <mergeCell ref="I44:M44"/>
  </mergeCells>
  <pageMargins left="0.3" right="0.3" top="0.75" bottom="0.5" header="0.3" footer="0.3"/>
  <pageSetup scale="58" fitToWidth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topLeftCell="A13" workbookViewId="0">
      <selection activeCell="C41" sqref="C41"/>
    </sheetView>
  </sheetViews>
  <sheetFormatPr defaultColWidth="9.140625" defaultRowHeight="15" x14ac:dyDescent="0.25"/>
  <cols>
    <col min="1" max="1" width="4" style="301" customWidth="1"/>
    <col min="2" max="2" width="11.5703125" style="301" customWidth="1"/>
    <col min="3" max="3" width="11.28515625" style="301" customWidth="1"/>
    <col min="4" max="4" width="11.140625" style="301" customWidth="1"/>
    <col min="5" max="5" width="11" style="301" customWidth="1"/>
    <col min="6" max="6" width="11.28515625" style="301" customWidth="1"/>
    <col min="7" max="7" width="12" style="301" customWidth="1"/>
    <col min="8" max="8" width="11.28515625" style="301" bestFit="1" customWidth="1"/>
    <col min="9" max="9" width="10.5703125" style="301" bestFit="1" customWidth="1"/>
    <col min="10" max="10" width="16.5703125" style="301" bestFit="1" customWidth="1"/>
    <col min="11" max="11" width="11.28515625" style="301" bestFit="1" customWidth="1"/>
    <col min="12" max="12" width="14.28515625" style="302" bestFit="1" customWidth="1"/>
    <col min="13" max="16384" width="9.140625" style="301"/>
  </cols>
  <sheetData>
    <row r="1" spans="1:12" x14ac:dyDescent="0.25">
      <c r="A1" s="36" t="s">
        <v>0</v>
      </c>
    </row>
    <row r="2" spans="1:12" x14ac:dyDescent="0.25">
      <c r="A2" s="36" t="s">
        <v>259</v>
      </c>
    </row>
    <row r="3" spans="1:12" x14ac:dyDescent="0.25">
      <c r="J3" s="301" t="s">
        <v>161</v>
      </c>
      <c r="L3" s="302">
        <f>+H18+H20+H21+H22</f>
        <v>11173079.8125</v>
      </c>
    </row>
    <row r="4" spans="1:12" x14ac:dyDescent="0.25">
      <c r="A4" s="36"/>
      <c r="B4" s="38"/>
      <c r="C4" s="38"/>
      <c r="D4" s="38"/>
      <c r="E4" s="38"/>
      <c r="F4" s="38"/>
      <c r="G4" s="38"/>
      <c r="J4" s="303" t="s">
        <v>264</v>
      </c>
      <c r="L4" s="302">
        <f>+[24]rev_exp!$G$29</f>
        <v>65253.152681976644</v>
      </c>
    </row>
    <row r="5" spans="1:12" x14ac:dyDescent="0.25">
      <c r="A5" s="36"/>
      <c r="B5" s="36" t="s">
        <v>98</v>
      </c>
      <c r="C5" s="38"/>
      <c r="D5" s="38"/>
      <c r="E5" s="38"/>
      <c r="F5" s="38"/>
      <c r="G5" s="38"/>
      <c r="J5" s="303" t="s">
        <v>265</v>
      </c>
      <c r="L5" s="302">
        <f>+[25]rev_exp!$G$28</f>
        <v>48533.325547200016</v>
      </c>
    </row>
    <row r="6" spans="1:12" ht="15.75" x14ac:dyDescent="0.25">
      <c r="A6" s="36"/>
      <c r="B6" s="304" t="s">
        <v>260</v>
      </c>
      <c r="C6" s="38"/>
      <c r="D6" s="38"/>
      <c r="E6" s="38"/>
      <c r="F6" s="38"/>
      <c r="G6" s="38"/>
    </row>
    <row r="7" spans="1:12" ht="15.75" x14ac:dyDescent="0.25">
      <c r="A7" s="36"/>
      <c r="B7" s="304"/>
      <c r="C7" s="40"/>
      <c r="D7" s="40"/>
      <c r="E7" s="40"/>
      <c r="F7" s="38"/>
      <c r="G7" s="38"/>
      <c r="J7" s="303" t="s">
        <v>79</v>
      </c>
      <c r="L7" s="302">
        <f>+L3+L4+L5</f>
        <v>11286866.290729176</v>
      </c>
    </row>
    <row r="8" spans="1:12" ht="15.75" x14ac:dyDescent="0.25">
      <c r="A8" s="36"/>
      <c r="B8" s="304"/>
      <c r="C8" s="38"/>
      <c r="D8" s="38"/>
      <c r="E8" s="38"/>
      <c r="F8" s="38"/>
      <c r="G8" s="38"/>
    </row>
    <row r="9" spans="1:12" x14ac:dyDescent="0.25">
      <c r="A9" s="36"/>
      <c r="B9" s="39"/>
      <c r="F9" s="38"/>
      <c r="G9" s="38"/>
    </row>
    <row r="10" spans="1:12" x14ac:dyDescent="0.25">
      <c r="A10" s="36"/>
      <c r="B10" s="39"/>
      <c r="F10" s="38"/>
      <c r="G10" s="38"/>
    </row>
    <row r="11" spans="1:12" x14ac:dyDescent="0.25">
      <c r="A11" s="36"/>
      <c r="B11" s="39"/>
      <c r="F11" s="38"/>
      <c r="G11" s="38"/>
    </row>
    <row r="12" spans="1:12" x14ac:dyDescent="0.25">
      <c r="A12" s="36"/>
      <c r="B12" s="39"/>
      <c r="F12" s="38"/>
      <c r="G12" s="38"/>
    </row>
    <row r="13" spans="1:12" ht="15.75" thickBot="1" x14ac:dyDescent="0.3">
      <c r="A13" s="36"/>
      <c r="F13" s="38"/>
      <c r="G13" s="38"/>
      <c r="J13" s="305"/>
      <c r="K13" s="305"/>
    </row>
    <row r="14" spans="1:12" ht="15.75" thickBot="1" x14ac:dyDescent="0.3">
      <c r="A14" s="36"/>
      <c r="B14" s="54" t="s">
        <v>111</v>
      </c>
      <c r="C14" s="306"/>
      <c r="D14" s="306"/>
      <c r="E14" s="265"/>
      <c r="F14" s="307">
        <v>2020</v>
      </c>
      <c r="G14" s="307">
        <v>2021</v>
      </c>
      <c r="H14" s="307">
        <v>2022</v>
      </c>
      <c r="J14" s="308"/>
      <c r="K14" s="305"/>
    </row>
    <row r="15" spans="1:12" x14ac:dyDescent="0.25">
      <c r="A15" s="36"/>
      <c r="B15" s="39" t="s">
        <v>112</v>
      </c>
      <c r="C15" s="306"/>
      <c r="D15" s="306"/>
      <c r="E15" s="309"/>
      <c r="F15" s="306">
        <v>8601614.0616435129</v>
      </c>
      <c r="G15" s="310">
        <v>8364293</v>
      </c>
      <c r="H15" s="310">
        <f>+F72</f>
        <v>6364649.8125</v>
      </c>
      <c r="J15" s="311"/>
      <c r="K15" s="305"/>
    </row>
    <row r="16" spans="1:12" x14ac:dyDescent="0.25">
      <c r="A16" s="36"/>
      <c r="B16" s="39" t="s">
        <v>113</v>
      </c>
      <c r="C16" s="306"/>
      <c r="D16" s="306"/>
      <c r="E16" s="309"/>
      <c r="F16" s="306">
        <v>265377.5</v>
      </c>
      <c r="G16" s="310">
        <v>248710</v>
      </c>
      <c r="H16" s="310">
        <f>+F81</f>
        <v>243508.33333333337</v>
      </c>
      <c r="J16" s="311"/>
      <c r="K16" s="305"/>
    </row>
    <row r="17" spans="1:13" x14ac:dyDescent="0.25">
      <c r="A17" s="36"/>
      <c r="B17" s="39" t="s">
        <v>114</v>
      </c>
      <c r="C17" s="306"/>
      <c r="D17" s="306"/>
      <c r="E17" s="309"/>
      <c r="F17" s="306">
        <v>771511.61670609645</v>
      </c>
      <c r="G17" s="310">
        <v>826945</v>
      </c>
      <c r="H17" s="310">
        <f>+F98</f>
        <v>664921.66666666674</v>
      </c>
      <c r="J17" s="311"/>
      <c r="K17" s="305"/>
    </row>
    <row r="18" spans="1:13" ht="15.75" thickBot="1" x14ac:dyDescent="0.3">
      <c r="A18" s="36"/>
      <c r="B18" s="39"/>
      <c r="C18" s="306"/>
      <c r="D18" s="306"/>
      <c r="E18" s="59"/>
      <c r="F18" s="58">
        <v>9638503.1783496086</v>
      </c>
      <c r="G18" s="58">
        <f>SUM(G15:G17)</f>
        <v>9439948</v>
      </c>
      <c r="H18" s="58">
        <f>SUM(H15:H17)</f>
        <v>7273079.8125</v>
      </c>
      <c r="J18" s="211"/>
      <c r="K18" s="305"/>
    </row>
    <row r="19" spans="1:13" ht="15.75" thickTop="1" x14ac:dyDescent="0.25">
      <c r="A19" s="36"/>
      <c r="B19" s="39"/>
      <c r="C19" s="306"/>
      <c r="D19" s="306"/>
      <c r="E19" s="63"/>
      <c r="F19" s="59"/>
      <c r="G19" s="59"/>
      <c r="H19" s="59"/>
      <c r="J19" s="211"/>
      <c r="K19" s="305"/>
    </row>
    <row r="20" spans="1:13" x14ac:dyDescent="0.25">
      <c r="A20" s="36"/>
      <c r="B20" s="39" t="s">
        <v>159</v>
      </c>
      <c r="C20" s="306"/>
      <c r="D20" s="306"/>
      <c r="E20" s="59"/>
      <c r="F20" s="59">
        <v>100000</v>
      </c>
      <c r="G20" s="59">
        <v>120000</v>
      </c>
      <c r="H20" s="211">
        <v>100000</v>
      </c>
      <c r="J20" s="211"/>
      <c r="K20" s="305"/>
    </row>
    <row r="21" spans="1:13" x14ac:dyDescent="0.25">
      <c r="A21" s="36"/>
      <c r="B21" s="39" t="s">
        <v>115</v>
      </c>
      <c r="C21" s="306"/>
      <c r="D21" s="306"/>
      <c r="E21" s="59"/>
      <c r="F21" s="59">
        <v>1000000</v>
      </c>
      <c r="G21" s="59">
        <v>1000000</v>
      </c>
      <c r="H21" s="59">
        <v>1000000</v>
      </c>
      <c r="J21" s="211"/>
      <c r="K21" s="305"/>
    </row>
    <row r="22" spans="1:13" x14ac:dyDescent="0.25">
      <c r="A22" s="36"/>
      <c r="B22" s="39" t="s">
        <v>116</v>
      </c>
      <c r="C22" s="306"/>
      <c r="D22" s="306"/>
      <c r="E22" s="59"/>
      <c r="F22" s="59">
        <v>2800000</v>
      </c>
      <c r="G22" s="59">
        <v>2800000</v>
      </c>
      <c r="H22" s="59">
        <v>2800000</v>
      </c>
      <c r="J22" s="211"/>
      <c r="K22" s="305"/>
    </row>
    <row r="23" spans="1:13" ht="16.5" x14ac:dyDescent="0.35">
      <c r="A23" s="36"/>
      <c r="B23" s="39" t="s">
        <v>264</v>
      </c>
      <c r="C23" s="306"/>
      <c r="D23" s="306"/>
      <c r="E23" s="271"/>
      <c r="F23" s="271"/>
      <c r="G23" s="271"/>
      <c r="H23" s="59">
        <f>+L4</f>
        <v>65253.152681976644</v>
      </c>
      <c r="J23" s="212"/>
      <c r="K23" s="305"/>
    </row>
    <row r="24" spans="1:13" ht="16.5" x14ac:dyDescent="0.35">
      <c r="A24" s="36"/>
      <c r="B24" s="39" t="s">
        <v>265</v>
      </c>
      <c r="C24" s="306"/>
      <c r="D24" s="306"/>
      <c r="E24" s="271"/>
      <c r="F24" s="271"/>
      <c r="G24" s="271"/>
      <c r="H24" s="59">
        <f>+L5</f>
        <v>48533.325547200016</v>
      </c>
      <c r="J24" s="212"/>
      <c r="K24" s="305"/>
    </row>
    <row r="25" spans="1:13" ht="17.25" thickBot="1" x14ac:dyDescent="0.4">
      <c r="A25" s="36"/>
      <c r="B25" s="39"/>
      <c r="C25" s="306"/>
      <c r="D25" s="306"/>
      <c r="E25" s="271"/>
      <c r="F25" s="271"/>
      <c r="G25" s="271"/>
      <c r="H25" s="271"/>
      <c r="J25" s="212"/>
      <c r="K25" s="305"/>
    </row>
    <row r="26" spans="1:13" ht="15.75" thickBot="1" x14ac:dyDescent="0.3">
      <c r="A26" s="36"/>
      <c r="B26" s="39"/>
      <c r="C26" s="306"/>
      <c r="D26" s="306"/>
      <c r="E26" s="272"/>
      <c r="F26" s="60">
        <f t="shared" ref="F26:G26" si="0">+F18+F20+F21+F22+F23</f>
        <v>13538503.178349609</v>
      </c>
      <c r="G26" s="60">
        <f t="shared" si="0"/>
        <v>13359948</v>
      </c>
      <c r="H26" s="60">
        <f>SUM(H18:H25)</f>
        <v>11286866.290729176</v>
      </c>
      <c r="I26" s="310"/>
      <c r="J26" s="211"/>
      <c r="K26" s="311"/>
    </row>
    <row r="27" spans="1:13" x14ac:dyDescent="0.25">
      <c r="A27" s="36"/>
      <c r="B27" s="39"/>
      <c r="C27" s="306"/>
      <c r="D27" s="306"/>
      <c r="E27" s="38"/>
      <c r="F27" s="38"/>
      <c r="G27" s="59"/>
      <c r="H27" s="59"/>
      <c r="J27" s="183"/>
      <c r="K27" s="305"/>
    </row>
    <row r="28" spans="1:13" x14ac:dyDescent="0.25">
      <c r="A28" s="312" t="s">
        <v>261</v>
      </c>
      <c r="C28" s="38"/>
      <c r="D28" s="63"/>
      <c r="E28" s="63"/>
      <c r="F28" s="63"/>
      <c r="G28" s="38"/>
    </row>
    <row r="29" spans="1:13" x14ac:dyDescent="0.25">
      <c r="A29" s="312"/>
      <c r="B29" s="64"/>
      <c r="C29" s="65"/>
      <c r="D29" s="66"/>
      <c r="E29" s="66"/>
      <c r="F29" s="66"/>
      <c r="G29" s="65"/>
      <c r="I29" s="338"/>
      <c r="J29" s="338"/>
      <c r="K29" s="338"/>
      <c r="L29" s="338"/>
      <c r="M29" s="338"/>
    </row>
    <row r="30" spans="1:13" x14ac:dyDescent="0.25">
      <c r="A30" s="38"/>
      <c r="B30" s="67" t="s">
        <v>120</v>
      </c>
      <c r="C30" s="68" t="s">
        <v>202</v>
      </c>
      <c r="D30" s="68" t="s">
        <v>203</v>
      </c>
      <c r="E30" s="68" t="s">
        <v>137</v>
      </c>
      <c r="F30" s="68" t="s">
        <v>79</v>
      </c>
      <c r="G30" s="38"/>
      <c r="I30" s="178"/>
      <c r="J30" s="179"/>
      <c r="K30" s="179"/>
      <c r="L30" s="292"/>
      <c r="M30" s="179"/>
    </row>
    <row r="31" spans="1:13" x14ac:dyDescent="0.25">
      <c r="A31" s="69"/>
      <c r="B31" s="70" t="s">
        <v>124</v>
      </c>
      <c r="C31" s="61">
        <f>+[26]Headcount!$N$7</f>
        <v>941.5</v>
      </c>
      <c r="D31" s="61">
        <f>+[26]Headcount!$N$21</f>
        <v>833.66666666666663</v>
      </c>
      <c r="E31" s="61">
        <f>+[26]Headcount!$N$36</f>
        <v>431.83333333333331</v>
      </c>
      <c r="F31" s="61">
        <f>SUM(C31:E31)</f>
        <v>2207</v>
      </c>
      <c r="G31" s="71"/>
      <c r="I31" s="182"/>
      <c r="J31" s="183"/>
      <c r="K31" s="183"/>
      <c r="L31" s="293"/>
      <c r="M31" s="183"/>
    </row>
    <row r="32" spans="1:13" x14ac:dyDescent="0.25">
      <c r="A32" s="69"/>
      <c r="B32" s="70" t="s">
        <v>237</v>
      </c>
      <c r="C32" s="61">
        <f>+[26]Headcount!$N$8</f>
        <v>550.33333333333337</v>
      </c>
      <c r="D32" s="61">
        <f>+[26]Headcount!$N$22</f>
        <v>419.66666666666669</v>
      </c>
      <c r="E32" s="61">
        <f>+[26]Headcount!$N$37</f>
        <v>220.83333333333334</v>
      </c>
      <c r="F32" s="61">
        <f t="shared" ref="F32:F35" si="1">SUM(C32:E32)</f>
        <v>1190.8333333333333</v>
      </c>
      <c r="G32" s="71"/>
      <c r="I32" s="182"/>
      <c r="J32" s="183"/>
      <c r="K32" s="183"/>
      <c r="L32" s="293"/>
      <c r="M32" s="183"/>
    </row>
    <row r="33" spans="1:13" s="313" customFormat="1" x14ac:dyDescent="0.25">
      <c r="A33" s="69"/>
      <c r="B33" s="70" t="s">
        <v>49</v>
      </c>
      <c r="C33" s="61">
        <f>+[26]Headcount!$N$9</f>
        <v>253.16666666666666</v>
      </c>
      <c r="D33" s="61">
        <f>+[26]Headcount!$N$23</f>
        <v>217.83333333333334</v>
      </c>
      <c r="E33" s="61">
        <f>+[26]Headcount!$N$38</f>
        <v>154.66666666666666</v>
      </c>
      <c r="F33" s="61">
        <f t="shared" si="1"/>
        <v>625.66666666666663</v>
      </c>
      <c r="I33" s="182"/>
      <c r="J33" s="183"/>
      <c r="K33" s="183"/>
      <c r="L33" s="293"/>
      <c r="M33" s="183"/>
    </row>
    <row r="34" spans="1:13" x14ac:dyDescent="0.25">
      <c r="A34" s="69"/>
      <c r="B34" s="70" t="s">
        <v>50</v>
      </c>
      <c r="C34" s="61">
        <f>+[26]Headcount!$N$10</f>
        <v>172</v>
      </c>
      <c r="D34" s="61">
        <f>+[26]Headcount!$N$24</f>
        <v>147.66666666666666</v>
      </c>
      <c r="E34" s="61">
        <f>+[26]Headcount!$N$39</f>
        <v>114</v>
      </c>
      <c r="F34" s="61">
        <f t="shared" si="1"/>
        <v>433.66666666666663</v>
      </c>
      <c r="G34" s="71"/>
      <c r="I34" s="182"/>
      <c r="J34" s="183"/>
      <c r="K34" s="183"/>
      <c r="L34" s="293"/>
      <c r="M34" s="183"/>
    </row>
    <row r="35" spans="1:13" x14ac:dyDescent="0.25">
      <c r="A35" s="69"/>
      <c r="B35" s="70" t="s">
        <v>51</v>
      </c>
      <c r="C35" s="61">
        <f>+[26]Headcount!$N$11</f>
        <v>168.66666666666666</v>
      </c>
      <c r="D35" s="61">
        <f>+[26]Headcount!$N$25</f>
        <v>148.5</v>
      </c>
      <c r="E35" s="61">
        <f>+[26]Headcount!$N$40</f>
        <v>95.833333333333329</v>
      </c>
      <c r="F35" s="61">
        <f t="shared" si="1"/>
        <v>412.99999999999994</v>
      </c>
      <c r="I35" s="182"/>
      <c r="J35" s="183"/>
      <c r="K35" s="183"/>
      <c r="L35" s="293"/>
      <c r="M35" s="183"/>
    </row>
    <row r="36" spans="1:13" x14ac:dyDescent="0.25">
      <c r="A36" s="69"/>
      <c r="B36" s="73" t="s">
        <v>79</v>
      </c>
      <c r="C36" s="74">
        <f>SUM(C31:C35)</f>
        <v>2085.666666666667</v>
      </c>
      <c r="D36" s="74">
        <f>SUM(D31:D35)</f>
        <v>1767.3333333333333</v>
      </c>
      <c r="E36" s="74">
        <f>SUM(E31:E35)</f>
        <v>1017.1666666666666</v>
      </c>
      <c r="F36" s="74">
        <f>SUM(F31:F35)</f>
        <v>4870.1666666666661</v>
      </c>
      <c r="I36" s="189"/>
      <c r="J36" s="80"/>
      <c r="K36" s="80"/>
      <c r="L36" s="294"/>
      <c r="M36" s="80"/>
    </row>
    <row r="37" spans="1:13" x14ac:dyDescent="0.25">
      <c r="F37" s="310">
        <f>+F36-[26]Headcount!$N$12-[26]Headcount!$N$26-[26]Headcount!$N$41</f>
        <v>0</v>
      </c>
    </row>
    <row r="38" spans="1:13" x14ac:dyDescent="0.25">
      <c r="A38" s="312" t="s">
        <v>262</v>
      </c>
      <c r="C38" s="38"/>
      <c r="D38" s="63"/>
      <c r="E38" s="63"/>
      <c r="F38" s="63"/>
      <c r="M38" s="310"/>
    </row>
    <row r="39" spans="1:13" x14ac:dyDescent="0.25">
      <c r="A39" s="312"/>
      <c r="B39" s="64"/>
      <c r="C39" s="38"/>
      <c r="D39" s="63"/>
      <c r="E39" s="63"/>
      <c r="F39" s="63"/>
      <c r="I39" s="339" t="s">
        <v>155</v>
      </c>
      <c r="J39" s="339"/>
      <c r="K39" s="339"/>
      <c r="L39" s="339"/>
      <c r="M39" s="339"/>
    </row>
    <row r="40" spans="1:13" x14ac:dyDescent="0.25">
      <c r="A40" s="38"/>
      <c r="B40" s="67" t="s">
        <v>120</v>
      </c>
      <c r="C40" s="68" t="s">
        <v>202</v>
      </c>
      <c r="D40" s="68" t="s">
        <v>203</v>
      </c>
      <c r="E40" s="68" t="s">
        <v>137</v>
      </c>
      <c r="I40" s="275" t="s">
        <v>120</v>
      </c>
      <c r="J40" s="276" t="s">
        <v>202</v>
      </c>
      <c r="K40" s="276" t="s">
        <v>203</v>
      </c>
      <c r="L40" s="295" t="s">
        <v>137</v>
      </c>
      <c r="M40" s="276"/>
    </row>
    <row r="41" spans="1:13" x14ac:dyDescent="0.25">
      <c r="A41" s="69"/>
      <c r="B41" s="70" t="s">
        <v>124</v>
      </c>
      <c r="C41" s="75">
        <f>+C50/C31</f>
        <v>12.687289785802797</v>
      </c>
      <c r="D41" s="75">
        <f>+D50/D31</f>
        <v>12.715513794482208</v>
      </c>
      <c r="E41" s="75">
        <f>+E50/E31</f>
        <v>5.7651485912774998</v>
      </c>
      <c r="I41" s="277" t="s">
        <v>124</v>
      </c>
      <c r="J41" s="278">
        <v>12.905331882480958</v>
      </c>
      <c r="K41" s="278">
        <v>12.603686635944701</v>
      </c>
      <c r="L41" s="296">
        <v>5.6954643628509718</v>
      </c>
      <c r="M41" s="314"/>
    </row>
    <row r="42" spans="1:13" x14ac:dyDescent="0.25">
      <c r="A42" s="69"/>
      <c r="B42" s="70" t="s">
        <v>237</v>
      </c>
      <c r="C42" s="75">
        <f t="shared" ref="C42:E45" si="2">+C51/C32</f>
        <v>10.905966081162932</v>
      </c>
      <c r="D42" s="75">
        <f t="shared" si="2"/>
        <v>10.911636219221604</v>
      </c>
      <c r="E42" s="75">
        <f>+E51/E32</f>
        <v>5.5769811320754714</v>
      </c>
      <c r="I42" s="277" t="s">
        <v>48</v>
      </c>
      <c r="J42" s="278">
        <v>10.853781512605043</v>
      </c>
      <c r="K42" s="278">
        <v>9.8886554621848735</v>
      </c>
      <c r="L42" s="296">
        <v>4.9814814814814818</v>
      </c>
      <c r="M42" s="314"/>
    </row>
    <row r="43" spans="1:13" x14ac:dyDescent="0.25">
      <c r="A43" s="69"/>
      <c r="B43" s="70" t="s">
        <v>49</v>
      </c>
      <c r="C43" s="75">
        <f t="shared" si="2"/>
        <v>11.859117840684663</v>
      </c>
      <c r="D43" s="75">
        <f t="shared" si="2"/>
        <v>11.512624330527927</v>
      </c>
      <c r="E43" s="75">
        <f t="shared" si="2"/>
        <v>5.7586206896551726</v>
      </c>
      <c r="I43" s="277" t="s">
        <v>49</v>
      </c>
      <c r="J43" s="278">
        <v>11.52</v>
      </c>
      <c r="K43" s="278">
        <v>11.582474226804123</v>
      </c>
      <c r="L43" s="296">
        <v>5.3913043478260869</v>
      </c>
      <c r="M43" s="314"/>
    </row>
    <row r="44" spans="1:13" x14ac:dyDescent="0.25">
      <c r="A44" s="69"/>
      <c r="B44" s="70" t="s">
        <v>50</v>
      </c>
      <c r="C44" s="75">
        <f t="shared" si="2"/>
        <v>10.125968992248062</v>
      </c>
      <c r="D44" s="75">
        <f t="shared" si="2"/>
        <v>9.6738148984198649</v>
      </c>
      <c r="E44" s="75">
        <f t="shared" si="2"/>
        <v>5.4502923976608191</v>
      </c>
      <c r="F44" s="315"/>
      <c r="G44" s="315"/>
      <c r="I44" s="277" t="s">
        <v>50</v>
      </c>
      <c r="J44" s="278">
        <v>9.6900584795321638</v>
      </c>
      <c r="K44" s="278">
        <v>9.5126582278481013</v>
      </c>
      <c r="L44" s="296">
        <v>5.2234042553191493</v>
      </c>
      <c r="M44" s="314"/>
    </row>
    <row r="45" spans="1:13" x14ac:dyDescent="0.25">
      <c r="A45" s="69"/>
      <c r="B45" s="70" t="s">
        <v>51</v>
      </c>
      <c r="C45" s="75">
        <f t="shared" si="2"/>
        <v>10.843379446640316</v>
      </c>
      <c r="D45" s="75">
        <f t="shared" si="2"/>
        <v>10.595959595959595</v>
      </c>
      <c r="E45" s="75">
        <f t="shared" si="2"/>
        <v>5.4834782608695658</v>
      </c>
      <c r="I45" s="277" t="s">
        <v>51</v>
      </c>
      <c r="J45" s="278">
        <v>10.757961783439491</v>
      </c>
      <c r="K45" s="278">
        <v>10.141975308641975</v>
      </c>
      <c r="L45" s="296">
        <v>5.364583333333333</v>
      </c>
      <c r="M45" s="314"/>
    </row>
    <row r="46" spans="1:13" x14ac:dyDescent="0.25">
      <c r="A46" s="69"/>
      <c r="B46" s="73" t="s">
        <v>126</v>
      </c>
      <c r="C46" s="78">
        <f>SUM(C41:C45)/5</f>
        <v>11.284344429307755</v>
      </c>
      <c r="D46" s="78">
        <f>SUM(D41:D45)/5</f>
        <v>11.081909767722241</v>
      </c>
      <c r="E46" s="78">
        <f>SUM(E41:E45)/5</f>
        <v>5.6069042143077059</v>
      </c>
      <c r="I46" s="281" t="s">
        <v>126</v>
      </c>
      <c r="J46" s="282">
        <f>SUM(J41:J45)/5</f>
        <v>11.145426731611531</v>
      </c>
      <c r="K46" s="282">
        <f>SUM(K41:K45)/5</f>
        <v>10.745889972284754</v>
      </c>
      <c r="L46" s="297">
        <f>SUM(L41:L45)/5</f>
        <v>5.3312475561622046</v>
      </c>
      <c r="M46" s="314"/>
    </row>
    <row r="48" spans="1:13" x14ac:dyDescent="0.25">
      <c r="A48" s="312" t="s">
        <v>263</v>
      </c>
    </row>
    <row r="49" spans="1:6" x14ac:dyDescent="0.25">
      <c r="B49" s="67" t="s">
        <v>120</v>
      </c>
      <c r="C49" s="68" t="s">
        <v>202</v>
      </c>
      <c r="D49" s="68" t="s">
        <v>203</v>
      </c>
      <c r="E49" s="68" t="s">
        <v>137</v>
      </c>
      <c r="F49" s="68" t="s">
        <v>79</v>
      </c>
    </row>
    <row r="50" spans="1:6" x14ac:dyDescent="0.25">
      <c r="B50" s="70" t="s">
        <v>124</v>
      </c>
      <c r="C50" s="61">
        <f>+[26]Headcount!$O$7</f>
        <v>11945.083333333334</v>
      </c>
      <c r="D50" s="61">
        <f>+[26]Headcount!$O$21</f>
        <v>10600.5</v>
      </c>
      <c r="E50" s="61">
        <f>+[26]Headcount!$O$36</f>
        <v>2489.5833333333335</v>
      </c>
      <c r="F50" s="61">
        <f>SUM(C50:E50)</f>
        <v>25035.166666666668</v>
      </c>
    </row>
    <row r="51" spans="1:6" x14ac:dyDescent="0.25">
      <c r="B51" s="70" t="s">
        <v>237</v>
      </c>
      <c r="C51" s="61">
        <f>+[26]Headcount!$O$8</f>
        <v>6001.916666666667</v>
      </c>
      <c r="D51" s="61">
        <f>+[26]Headcount!$O$22</f>
        <v>4579.25</v>
      </c>
      <c r="E51" s="61">
        <f>+[26]Headcount!$O$37</f>
        <v>1231.5833333333333</v>
      </c>
      <c r="F51" s="61">
        <f>SUM(C51:E51)</f>
        <v>11812.750000000002</v>
      </c>
    </row>
    <row r="52" spans="1:6" x14ac:dyDescent="0.25">
      <c r="B52" s="70" t="s">
        <v>49</v>
      </c>
      <c r="C52" s="61">
        <f>+[26]Headcount!$O$9</f>
        <v>3002.3333333333335</v>
      </c>
      <c r="D52" s="61">
        <f>+[26]Headcount!$O$23</f>
        <v>2507.8333333333335</v>
      </c>
      <c r="E52" s="61">
        <f>+[26]Headcount!$O$38</f>
        <v>890.66666666666663</v>
      </c>
      <c r="F52" s="61">
        <f t="shared" ref="F52:F54" si="3">SUM(C52:E52)</f>
        <v>6400.8333333333339</v>
      </c>
    </row>
    <row r="53" spans="1:6" x14ac:dyDescent="0.25">
      <c r="B53" s="70" t="s">
        <v>50</v>
      </c>
      <c r="C53" s="61">
        <f>+[26]Headcount!$O$10</f>
        <v>1741.6666666666667</v>
      </c>
      <c r="D53" s="61">
        <f>+[26]Headcount!$O$24</f>
        <v>1428.5</v>
      </c>
      <c r="E53" s="61">
        <f>+[26]Headcount!$O$39</f>
        <v>621.33333333333337</v>
      </c>
      <c r="F53" s="61">
        <f t="shared" si="3"/>
        <v>3791.5000000000005</v>
      </c>
    </row>
    <row r="54" spans="1:6" x14ac:dyDescent="0.25">
      <c r="B54" s="70" t="s">
        <v>51</v>
      </c>
      <c r="C54" s="61">
        <f>+[26]Headcount!$O$11</f>
        <v>1828.9166666666667</v>
      </c>
      <c r="D54" s="61">
        <f>+[26]Headcount!$O$25</f>
        <v>1573.5</v>
      </c>
      <c r="E54" s="61">
        <f>+[26]Headcount!$O$40</f>
        <v>525.5</v>
      </c>
      <c r="F54" s="61">
        <f t="shared" si="3"/>
        <v>3927.916666666667</v>
      </c>
    </row>
    <row r="55" spans="1:6" x14ac:dyDescent="0.25">
      <c r="B55" s="73" t="s">
        <v>79</v>
      </c>
      <c r="C55" s="74">
        <f>SUM(C50:C54)</f>
        <v>24519.916666666668</v>
      </c>
      <c r="D55" s="74">
        <f t="shared" ref="D55:F55" si="4">SUM(D50:D54)</f>
        <v>20689.583333333332</v>
      </c>
      <c r="E55" s="74">
        <f t="shared" si="4"/>
        <v>5758.666666666667</v>
      </c>
      <c r="F55" s="74">
        <f t="shared" si="4"/>
        <v>50968.166666666672</v>
      </c>
    </row>
    <row r="56" spans="1:6" x14ac:dyDescent="0.25">
      <c r="F56" s="310">
        <f>+F55-[26]Headcount!$O$12-[26]Headcount!$O$26-[26]Headcount!$O$41</f>
        <v>0</v>
      </c>
    </row>
    <row r="57" spans="1:6" x14ac:dyDescent="0.25">
      <c r="A57" s="312" t="s">
        <v>131</v>
      </c>
    </row>
    <row r="58" spans="1:6" x14ac:dyDescent="0.25">
      <c r="B58" s="316" t="s">
        <v>132</v>
      </c>
    </row>
    <row r="59" spans="1:6" x14ac:dyDescent="0.25">
      <c r="B59" s="70" t="s">
        <v>124</v>
      </c>
      <c r="C59" s="61">
        <f>+C50*135</f>
        <v>1612586.25</v>
      </c>
      <c r="D59" s="61">
        <f t="shared" ref="C59:E63" si="5">+D50*135</f>
        <v>1431067.5</v>
      </c>
      <c r="E59" s="61">
        <f t="shared" si="5"/>
        <v>336093.75</v>
      </c>
      <c r="F59" s="61">
        <f>SUM(C59:E59)</f>
        <v>3379747.5</v>
      </c>
    </row>
    <row r="60" spans="1:6" x14ac:dyDescent="0.25">
      <c r="B60" s="70" t="s">
        <v>237</v>
      </c>
      <c r="C60" s="61">
        <f>+C51*135</f>
        <v>810258.75</v>
      </c>
      <c r="D60" s="61">
        <f t="shared" si="5"/>
        <v>618198.75</v>
      </c>
      <c r="E60" s="61">
        <f t="shared" si="5"/>
        <v>166263.75</v>
      </c>
      <c r="F60" s="61">
        <f t="shared" ref="F60:F63" si="6">SUM(C60:E60)</f>
        <v>1594721.25</v>
      </c>
    </row>
    <row r="61" spans="1:6" x14ac:dyDescent="0.25">
      <c r="B61" s="70" t="s">
        <v>49</v>
      </c>
      <c r="C61" s="61">
        <f t="shared" si="5"/>
        <v>405315</v>
      </c>
      <c r="D61" s="61">
        <f t="shared" si="5"/>
        <v>338557.5</v>
      </c>
      <c r="E61" s="61">
        <f t="shared" si="5"/>
        <v>120240</v>
      </c>
      <c r="F61" s="61">
        <f t="shared" si="6"/>
        <v>864112.5</v>
      </c>
    </row>
    <row r="62" spans="1:6" x14ac:dyDescent="0.25">
      <c r="B62" s="70" t="s">
        <v>50</v>
      </c>
      <c r="C62" s="61">
        <f t="shared" si="5"/>
        <v>235125</v>
      </c>
      <c r="D62" s="61">
        <f t="shared" si="5"/>
        <v>192847.5</v>
      </c>
      <c r="E62" s="61">
        <f t="shared" si="5"/>
        <v>83880</v>
      </c>
      <c r="F62" s="61">
        <f t="shared" si="6"/>
        <v>511852.5</v>
      </c>
    </row>
    <row r="63" spans="1:6" x14ac:dyDescent="0.25">
      <c r="B63" s="70" t="s">
        <v>51</v>
      </c>
      <c r="C63" s="61">
        <f t="shared" si="5"/>
        <v>246903.75</v>
      </c>
      <c r="D63" s="61">
        <f t="shared" si="5"/>
        <v>212422.5</v>
      </c>
      <c r="E63" s="61">
        <f t="shared" si="5"/>
        <v>70942.5</v>
      </c>
      <c r="F63" s="61">
        <f t="shared" si="6"/>
        <v>530268.75</v>
      </c>
    </row>
    <row r="64" spans="1:6" x14ac:dyDescent="0.25">
      <c r="B64" s="73" t="s">
        <v>79</v>
      </c>
      <c r="C64" s="74">
        <f>SUM(C59:C63)</f>
        <v>3310188.75</v>
      </c>
      <c r="D64" s="74">
        <f t="shared" ref="D64:F64" si="7">SUM(D59:D63)</f>
        <v>2793093.75</v>
      </c>
      <c r="E64" s="74">
        <f t="shared" si="7"/>
        <v>777420</v>
      </c>
      <c r="F64" s="74">
        <f t="shared" si="7"/>
        <v>6880702.5</v>
      </c>
    </row>
    <row r="66" spans="1:7" x14ac:dyDescent="0.25">
      <c r="B66" s="316" t="s">
        <v>133</v>
      </c>
    </row>
    <row r="67" spans="1:7" x14ac:dyDescent="0.25">
      <c r="B67" s="70" t="s">
        <v>124</v>
      </c>
      <c r="C67" s="61">
        <f>+C59*0.925</f>
        <v>1491642.28125</v>
      </c>
      <c r="D67" s="61">
        <f t="shared" ref="D67:E67" si="8">+D59*0.925</f>
        <v>1323737.4375</v>
      </c>
      <c r="E67" s="61">
        <f t="shared" si="8"/>
        <v>310886.71875</v>
      </c>
      <c r="F67" s="61">
        <f>SUM(C67:E67)</f>
        <v>3126266.4375</v>
      </c>
    </row>
    <row r="68" spans="1:7" x14ac:dyDescent="0.25">
      <c r="B68" s="70" t="s">
        <v>237</v>
      </c>
      <c r="C68" s="61">
        <f t="shared" ref="C68:E71" si="9">+C60*0.925</f>
        <v>749489.34375</v>
      </c>
      <c r="D68" s="61">
        <f t="shared" si="9"/>
        <v>571833.84375</v>
      </c>
      <c r="E68" s="61">
        <f t="shared" si="9"/>
        <v>153793.96875</v>
      </c>
      <c r="F68" s="61">
        <f t="shared" ref="F68:F71" si="10">SUM(C68:E68)</f>
        <v>1475117.15625</v>
      </c>
    </row>
    <row r="69" spans="1:7" x14ac:dyDescent="0.25">
      <c r="B69" s="70" t="s">
        <v>49</v>
      </c>
      <c r="C69" s="61">
        <f t="shared" si="9"/>
        <v>374916.375</v>
      </c>
      <c r="D69" s="61">
        <f t="shared" si="9"/>
        <v>313165.6875</v>
      </c>
      <c r="E69" s="61">
        <f t="shared" si="9"/>
        <v>111222</v>
      </c>
      <c r="F69" s="61">
        <f t="shared" si="10"/>
        <v>799304.0625</v>
      </c>
    </row>
    <row r="70" spans="1:7" x14ac:dyDescent="0.25">
      <c r="B70" s="70" t="s">
        <v>50</v>
      </c>
      <c r="C70" s="61">
        <f t="shared" si="9"/>
        <v>217490.625</v>
      </c>
      <c r="D70" s="61">
        <f t="shared" si="9"/>
        <v>178383.9375</v>
      </c>
      <c r="E70" s="61">
        <f t="shared" si="9"/>
        <v>77589</v>
      </c>
      <c r="F70" s="61">
        <f t="shared" si="10"/>
        <v>473463.5625</v>
      </c>
    </row>
    <row r="71" spans="1:7" x14ac:dyDescent="0.25">
      <c r="B71" s="70" t="s">
        <v>51</v>
      </c>
      <c r="C71" s="61">
        <f t="shared" si="9"/>
        <v>228385.96875</v>
      </c>
      <c r="D71" s="61">
        <f t="shared" si="9"/>
        <v>196490.8125</v>
      </c>
      <c r="E71" s="61">
        <f t="shared" si="9"/>
        <v>65621.8125</v>
      </c>
      <c r="F71" s="61">
        <f t="shared" si="10"/>
        <v>490498.59375</v>
      </c>
    </row>
    <row r="72" spans="1:7" ht="15.75" thickBot="1" x14ac:dyDescent="0.3">
      <c r="B72" s="73" t="s">
        <v>79</v>
      </c>
      <c r="C72" s="49">
        <f>SUM(C67:C71)</f>
        <v>3061924.59375</v>
      </c>
      <c r="D72" s="49">
        <f t="shared" ref="D72:F72" si="11">SUM(D67:D71)</f>
        <v>2583611.71875</v>
      </c>
      <c r="E72" s="49">
        <f t="shared" si="11"/>
        <v>719113.5</v>
      </c>
      <c r="F72" s="49">
        <f t="shared" si="11"/>
        <v>6364649.8125</v>
      </c>
      <c r="G72" s="310"/>
    </row>
    <row r="73" spans="1:7" x14ac:dyDescent="0.25">
      <c r="B73" s="73"/>
      <c r="C73" s="80"/>
      <c r="D73" s="80"/>
      <c r="E73" s="80"/>
      <c r="F73" s="80"/>
    </row>
    <row r="74" spans="1:7" x14ac:dyDescent="0.25">
      <c r="A74" s="317"/>
      <c r="B74" s="317"/>
      <c r="C74" s="317"/>
      <c r="D74" s="317"/>
      <c r="E74" s="317"/>
      <c r="F74" s="317"/>
      <c r="G74" s="317"/>
    </row>
    <row r="75" spans="1:7" x14ac:dyDescent="0.25">
      <c r="A75" s="312" t="s">
        <v>134</v>
      </c>
    </row>
    <row r="76" spans="1:7" x14ac:dyDescent="0.25">
      <c r="B76" s="70" t="s">
        <v>124</v>
      </c>
      <c r="C76" s="61">
        <f>+C31*50</f>
        <v>47075</v>
      </c>
      <c r="D76" s="61">
        <f t="shared" ref="D76:E80" si="12">+D31*50</f>
        <v>41683.333333333328</v>
      </c>
      <c r="E76" s="61">
        <f t="shared" si="12"/>
        <v>21591.666666666664</v>
      </c>
      <c r="F76" s="61">
        <f>SUM(C76:E76)</f>
        <v>110350</v>
      </c>
    </row>
    <row r="77" spans="1:7" x14ac:dyDescent="0.25">
      <c r="B77" s="70" t="s">
        <v>237</v>
      </c>
      <c r="C77" s="61">
        <f>+C32*50</f>
        <v>27516.666666666668</v>
      </c>
      <c r="D77" s="61">
        <f t="shared" si="12"/>
        <v>20983.333333333336</v>
      </c>
      <c r="E77" s="61">
        <f t="shared" si="12"/>
        <v>11041.666666666668</v>
      </c>
      <c r="F77" s="61">
        <f t="shared" ref="F77:F80" si="13">SUM(C77:E77)</f>
        <v>59541.666666666672</v>
      </c>
    </row>
    <row r="78" spans="1:7" x14ac:dyDescent="0.25">
      <c r="B78" s="70" t="s">
        <v>49</v>
      </c>
      <c r="C78" s="61">
        <f>+C33*50</f>
        <v>12658.333333333332</v>
      </c>
      <c r="D78" s="61">
        <f t="shared" si="12"/>
        <v>10891.666666666668</v>
      </c>
      <c r="E78" s="61">
        <f t="shared" si="12"/>
        <v>7733.333333333333</v>
      </c>
      <c r="F78" s="61">
        <f t="shared" si="13"/>
        <v>31283.333333333332</v>
      </c>
    </row>
    <row r="79" spans="1:7" x14ac:dyDescent="0.25">
      <c r="B79" s="70" t="s">
        <v>50</v>
      </c>
      <c r="C79" s="61">
        <f>+C34*50</f>
        <v>8600</v>
      </c>
      <c r="D79" s="61">
        <f t="shared" si="12"/>
        <v>7383.333333333333</v>
      </c>
      <c r="E79" s="61">
        <f t="shared" si="12"/>
        <v>5700</v>
      </c>
      <c r="F79" s="61">
        <f t="shared" si="13"/>
        <v>21683.333333333332</v>
      </c>
    </row>
    <row r="80" spans="1:7" x14ac:dyDescent="0.25">
      <c r="B80" s="70" t="s">
        <v>51</v>
      </c>
      <c r="C80" s="61">
        <f>+C35*50</f>
        <v>8433.3333333333321</v>
      </c>
      <c r="D80" s="61">
        <f t="shared" si="12"/>
        <v>7425</v>
      </c>
      <c r="E80" s="61">
        <f t="shared" si="12"/>
        <v>4791.6666666666661</v>
      </c>
      <c r="F80" s="61">
        <f t="shared" si="13"/>
        <v>20650</v>
      </c>
    </row>
    <row r="81" spans="1:7" ht="15.75" thickBot="1" x14ac:dyDescent="0.3">
      <c r="B81" s="73" t="s">
        <v>79</v>
      </c>
      <c r="C81" s="49">
        <f>SUM(C76:C80)</f>
        <v>104283.33333333333</v>
      </c>
      <c r="D81" s="49">
        <f t="shared" ref="D81:F81" si="14">SUM(D76:D80)</f>
        <v>88366.666666666657</v>
      </c>
      <c r="E81" s="49">
        <f t="shared" si="14"/>
        <v>50858.333333333328</v>
      </c>
      <c r="F81" s="49">
        <f t="shared" si="14"/>
        <v>243508.33333333337</v>
      </c>
    </row>
    <row r="85" spans="1:7" x14ac:dyDescent="0.25">
      <c r="A85" s="317"/>
      <c r="B85" s="317"/>
      <c r="C85" s="317"/>
      <c r="D85" s="317"/>
      <c r="E85" s="317"/>
      <c r="F85" s="317"/>
      <c r="G85" s="317"/>
    </row>
    <row r="86" spans="1:7" x14ac:dyDescent="0.25">
      <c r="A86" s="318" t="s">
        <v>135</v>
      </c>
      <c r="C86" s="319" t="s">
        <v>136</v>
      </c>
      <c r="D86" s="319" t="s">
        <v>137</v>
      </c>
    </row>
    <row r="87" spans="1:7" x14ac:dyDescent="0.25">
      <c r="B87" s="301" t="s">
        <v>138</v>
      </c>
      <c r="C87" s="320">
        <v>200</v>
      </c>
      <c r="D87" s="301">
        <v>50</v>
      </c>
      <c r="E87" s="321"/>
    </row>
    <row r="88" spans="1:7" x14ac:dyDescent="0.25">
      <c r="B88" s="301" t="s">
        <v>139</v>
      </c>
      <c r="C88" s="320">
        <v>70</v>
      </c>
      <c r="D88" s="301">
        <v>25</v>
      </c>
      <c r="E88" s="321"/>
    </row>
    <row r="89" spans="1:7" x14ac:dyDescent="0.25">
      <c r="A89" s="38"/>
      <c r="B89" s="86"/>
      <c r="C89" s="38"/>
      <c r="D89" s="38"/>
      <c r="E89" s="38"/>
      <c r="F89" s="38"/>
    </row>
    <row r="90" spans="1:7" x14ac:dyDescent="0.25">
      <c r="B90" s="316" t="s">
        <v>140</v>
      </c>
      <c r="C90" s="68" t="s">
        <v>202</v>
      </c>
      <c r="D90" s="68" t="s">
        <v>203</v>
      </c>
      <c r="E90" s="68" t="s">
        <v>137</v>
      </c>
      <c r="F90" s="68" t="s">
        <v>79</v>
      </c>
      <c r="G90" s="313"/>
    </row>
    <row r="91" spans="1:7" x14ac:dyDescent="0.25">
      <c r="B91" s="303" t="s">
        <v>138</v>
      </c>
      <c r="C91" s="61">
        <f>+'[26]FT PT'!$AF$12</f>
        <v>1465.3333333333335</v>
      </c>
      <c r="D91" s="61">
        <f>+'[26]FT PT'!$AF$22</f>
        <v>1237.8333333333333</v>
      </c>
      <c r="E91" s="61">
        <f>+'[26]FT PT'!$AF$32</f>
        <v>735.16666666666663</v>
      </c>
      <c r="F91" s="61">
        <f>SUM(C91:E91)</f>
        <v>3438.3333333333335</v>
      </c>
      <c r="G91" s="313"/>
    </row>
    <row r="92" spans="1:7" x14ac:dyDescent="0.25">
      <c r="B92" s="70" t="s">
        <v>110</v>
      </c>
      <c r="C92" s="61">
        <f>+'[26]FT PT'!$AH$12</f>
        <v>620.33333333333337</v>
      </c>
      <c r="D92" s="61">
        <f>+'[26]FT PT'!$AH$22</f>
        <v>529.5</v>
      </c>
      <c r="E92" s="61">
        <f>+'[26]FT PT'!$AH$32</f>
        <v>281.66666666666663</v>
      </c>
      <c r="F92" s="61">
        <f t="shared" ref="F92" si="15">SUM(C92:E92)</f>
        <v>1431.5</v>
      </c>
      <c r="G92" s="313"/>
    </row>
    <row r="93" spans="1:7" x14ac:dyDescent="0.25">
      <c r="B93" s="73" t="s">
        <v>79</v>
      </c>
      <c r="C93" s="74">
        <f>SUM(C91:C92)</f>
        <v>2085.666666666667</v>
      </c>
      <c r="D93" s="74">
        <f>SUM(D91:D92)</f>
        <v>1767.3333333333333</v>
      </c>
      <c r="E93" s="74">
        <f>SUM(E91:E92)</f>
        <v>1016.8333333333333</v>
      </c>
      <c r="F93" s="74">
        <f>SUM(F91:F92)</f>
        <v>4869.8333333333339</v>
      </c>
      <c r="G93" s="313"/>
    </row>
    <row r="94" spans="1:7" x14ac:dyDescent="0.25">
      <c r="C94" s="313"/>
      <c r="D94" s="313"/>
      <c r="E94" s="313"/>
      <c r="F94" s="313"/>
      <c r="G94" s="313"/>
    </row>
    <row r="95" spans="1:7" x14ac:dyDescent="0.25">
      <c r="B95" s="316"/>
      <c r="C95" s="68" t="s">
        <v>121</v>
      </c>
      <c r="D95" s="68" t="s">
        <v>122</v>
      </c>
      <c r="E95" s="68" t="s">
        <v>123</v>
      </c>
      <c r="F95" s="68" t="s">
        <v>79</v>
      </c>
      <c r="G95" s="313"/>
    </row>
    <row r="96" spans="1:7" x14ac:dyDescent="0.25">
      <c r="B96" s="303" t="s">
        <v>138</v>
      </c>
      <c r="C96" s="88">
        <f>+C91*C87</f>
        <v>293066.66666666669</v>
      </c>
      <c r="D96" s="88">
        <f>+D91*C87</f>
        <v>247566.66666666666</v>
      </c>
      <c r="E96" s="61">
        <f>+E91*D87</f>
        <v>36758.333333333328</v>
      </c>
      <c r="F96" s="61">
        <f>SUM(C96:E96)</f>
        <v>577391.66666666674</v>
      </c>
      <c r="G96" s="313"/>
    </row>
    <row r="97" spans="2:7" x14ac:dyDescent="0.25">
      <c r="B97" s="70" t="s">
        <v>110</v>
      </c>
      <c r="C97" s="88">
        <f>+C88*C92</f>
        <v>43423.333333333336</v>
      </c>
      <c r="D97" s="88">
        <f>+D92*C88</f>
        <v>37065</v>
      </c>
      <c r="E97" s="61">
        <f>+E92*D88</f>
        <v>7041.6666666666661</v>
      </c>
      <c r="F97" s="61">
        <f t="shared" ref="F97" si="16">SUM(C97:E97)</f>
        <v>87530.000000000015</v>
      </c>
      <c r="G97" s="313"/>
    </row>
    <row r="98" spans="2:7" x14ac:dyDescent="0.25">
      <c r="B98" s="73" t="s">
        <v>79</v>
      </c>
      <c r="C98" s="74">
        <f>SUM(C96:C97)</f>
        <v>336490</v>
      </c>
      <c r="D98" s="74">
        <f>SUM(D96:D97)</f>
        <v>284631.66666666663</v>
      </c>
      <c r="E98" s="74">
        <f>SUM(E96:E97)</f>
        <v>43799.999999999993</v>
      </c>
      <c r="F98" s="74">
        <f>SUM(F96:F97)</f>
        <v>664921.66666666674</v>
      </c>
      <c r="G98" s="313"/>
    </row>
    <row r="99" spans="2:7" x14ac:dyDescent="0.25">
      <c r="C99" s="313"/>
      <c r="D99" s="313"/>
      <c r="E99" s="313"/>
      <c r="F99" s="313"/>
      <c r="G99" s="313"/>
    </row>
  </sheetData>
  <mergeCells count="2">
    <mergeCell ref="I29:M29"/>
    <mergeCell ref="I39:M39"/>
  </mergeCells>
  <pageMargins left="0.45" right="0.45" top="0.75" bottom="0.75" header="0.3" footer="0.3"/>
  <pageSetup scale="7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topLeftCell="A103" workbookViewId="0">
      <selection activeCell="C68" sqref="C68"/>
    </sheetView>
  </sheetViews>
  <sheetFormatPr defaultColWidth="9.140625" defaultRowHeight="15" x14ac:dyDescent="0.25"/>
  <cols>
    <col min="1" max="1" width="4" style="261" customWidth="1"/>
    <col min="2" max="2" width="11.5703125" style="261" customWidth="1"/>
    <col min="3" max="3" width="11.28515625" style="261" customWidth="1"/>
    <col min="4" max="4" width="11.140625" style="261" customWidth="1"/>
    <col min="5" max="5" width="11" style="261" customWidth="1"/>
    <col min="6" max="6" width="11.28515625" style="261" customWidth="1"/>
    <col min="7" max="7" width="12" style="261" customWidth="1"/>
    <col min="8" max="8" width="11.28515625" style="261" bestFit="1" customWidth="1"/>
    <col min="9" max="9" width="10.5703125" style="261" bestFit="1" customWidth="1"/>
    <col min="10" max="10" width="16.5703125" style="261" bestFit="1" customWidth="1"/>
    <col min="11" max="11" width="11.28515625" style="261" bestFit="1" customWidth="1"/>
    <col min="12" max="12" width="14.28515625" style="291" bestFit="1" customWidth="1"/>
    <col min="13" max="16384" width="9.140625" style="261"/>
  </cols>
  <sheetData>
    <row r="1" spans="1:12" x14ac:dyDescent="0.25">
      <c r="A1" s="36" t="s">
        <v>0</v>
      </c>
    </row>
    <row r="2" spans="1:12" x14ac:dyDescent="0.25">
      <c r="A2" s="36" t="s">
        <v>259</v>
      </c>
    </row>
    <row r="3" spans="1:12" x14ac:dyDescent="0.25">
      <c r="J3" s="261" t="s">
        <v>161</v>
      </c>
      <c r="L3" s="291">
        <f>+H18+H20+H21+H22</f>
        <v>11765936.5625</v>
      </c>
    </row>
    <row r="4" spans="1:12" x14ac:dyDescent="0.25">
      <c r="A4" s="36"/>
      <c r="B4" s="38"/>
      <c r="C4" s="38"/>
      <c r="D4" s="38"/>
      <c r="E4" s="38"/>
      <c r="F4" s="38"/>
      <c r="G4" s="38"/>
      <c r="J4" s="290" t="s">
        <v>264</v>
      </c>
      <c r="L4" s="291">
        <f>+[24]rev_exp!$G$29</f>
        <v>65253.152681976644</v>
      </c>
    </row>
    <row r="5" spans="1:12" x14ac:dyDescent="0.25">
      <c r="A5" s="36"/>
      <c r="B5" s="36" t="s">
        <v>98</v>
      </c>
      <c r="C5" s="38"/>
      <c r="D5" s="38"/>
      <c r="E5" s="38"/>
      <c r="F5" s="38"/>
      <c r="G5" s="38"/>
      <c r="J5" s="290" t="s">
        <v>265</v>
      </c>
      <c r="L5" s="291">
        <f>+[25]rev_exp!$G$28</f>
        <v>48533.325547200016</v>
      </c>
    </row>
    <row r="6" spans="1:12" ht="15.75" x14ac:dyDescent="0.25">
      <c r="A6" s="36"/>
      <c r="B6" s="262" t="s">
        <v>260</v>
      </c>
      <c r="C6" s="38"/>
      <c r="D6" s="38"/>
      <c r="E6" s="38"/>
      <c r="F6" s="38"/>
      <c r="G6" s="38"/>
    </row>
    <row r="7" spans="1:12" ht="15.75" x14ac:dyDescent="0.25">
      <c r="A7" s="36"/>
      <c r="B7" s="262"/>
      <c r="C7" s="40"/>
      <c r="D7" s="40"/>
      <c r="E7" s="40"/>
      <c r="F7" s="38"/>
      <c r="G7" s="38"/>
      <c r="J7" s="300" t="s">
        <v>79</v>
      </c>
      <c r="L7" s="291">
        <f>+L3+L4+L5</f>
        <v>11879723.040729176</v>
      </c>
    </row>
    <row r="8" spans="1:12" ht="18" x14ac:dyDescent="0.4">
      <c r="A8" s="36"/>
      <c r="B8" s="262"/>
      <c r="C8" s="38"/>
      <c r="D8" s="38"/>
      <c r="E8" s="38"/>
      <c r="F8" s="38"/>
      <c r="G8" s="38"/>
      <c r="J8" s="322" t="s">
        <v>153</v>
      </c>
      <c r="L8" s="323">
        <f>+'2022'!M68</f>
        <v>11879723.405833181</v>
      </c>
    </row>
    <row r="9" spans="1:12" ht="17.25" x14ac:dyDescent="0.4">
      <c r="A9" s="36"/>
      <c r="B9" s="39"/>
      <c r="F9" s="38"/>
      <c r="G9" s="38"/>
      <c r="J9" s="322" t="s">
        <v>95</v>
      </c>
      <c r="L9" s="323">
        <f>+L7-L8</f>
        <v>-0.36510400474071503</v>
      </c>
    </row>
    <row r="10" spans="1:12" x14ac:dyDescent="0.25">
      <c r="A10" s="36"/>
      <c r="B10" s="39"/>
      <c r="F10" s="38"/>
      <c r="G10" s="38"/>
    </row>
    <row r="11" spans="1:12" x14ac:dyDescent="0.25">
      <c r="A11" s="36"/>
      <c r="B11" s="39"/>
      <c r="F11" s="38"/>
      <c r="G11" s="38"/>
    </row>
    <row r="12" spans="1:12" x14ac:dyDescent="0.25">
      <c r="A12" s="36"/>
      <c r="B12" s="39"/>
      <c r="F12" s="38"/>
      <c r="G12" s="38"/>
    </row>
    <row r="13" spans="1:12" ht="15.75" thickBot="1" x14ac:dyDescent="0.3">
      <c r="A13" s="36"/>
      <c r="F13" s="38"/>
      <c r="G13" s="38"/>
      <c r="J13" s="263"/>
      <c r="K13" s="263"/>
    </row>
    <row r="14" spans="1:12" ht="15.75" thickBot="1" x14ac:dyDescent="0.3">
      <c r="A14" s="36"/>
      <c r="B14" s="54" t="s">
        <v>111</v>
      </c>
      <c r="C14" s="264"/>
      <c r="D14" s="264"/>
      <c r="E14" s="265"/>
      <c r="F14" s="266">
        <v>2020</v>
      </c>
      <c r="G14" s="266">
        <v>2021</v>
      </c>
      <c r="H14" s="266">
        <v>2022</v>
      </c>
      <c r="J14" s="267"/>
      <c r="K14" s="263"/>
    </row>
    <row r="15" spans="1:12" x14ac:dyDescent="0.25">
      <c r="A15" s="36"/>
      <c r="B15" s="39" t="s">
        <v>112</v>
      </c>
      <c r="C15" s="264"/>
      <c r="D15" s="264"/>
      <c r="E15" s="268"/>
      <c r="F15" s="264">
        <v>8601614.0616435129</v>
      </c>
      <c r="G15" s="269">
        <v>8364293</v>
      </c>
      <c r="H15" s="269">
        <f>+F72</f>
        <v>6757506.5625</v>
      </c>
      <c r="J15" s="270"/>
      <c r="K15" s="263"/>
    </row>
    <row r="16" spans="1:12" x14ac:dyDescent="0.25">
      <c r="A16" s="36"/>
      <c r="B16" s="39" t="s">
        <v>113</v>
      </c>
      <c r="C16" s="264"/>
      <c r="D16" s="264"/>
      <c r="E16" s="268"/>
      <c r="F16" s="264">
        <v>265377.5</v>
      </c>
      <c r="G16" s="269">
        <v>248710</v>
      </c>
      <c r="H16" s="269">
        <f>+F81</f>
        <v>243508.33333333337</v>
      </c>
      <c r="J16" s="270"/>
      <c r="K16" s="263"/>
    </row>
    <row r="17" spans="1:13" x14ac:dyDescent="0.25">
      <c r="A17" s="36"/>
      <c r="B17" s="39" t="s">
        <v>114</v>
      </c>
      <c r="C17" s="264"/>
      <c r="D17" s="264"/>
      <c r="E17" s="268"/>
      <c r="F17" s="264">
        <v>771511.61670609645</v>
      </c>
      <c r="G17" s="269">
        <v>826945</v>
      </c>
      <c r="H17" s="269">
        <f>+F98</f>
        <v>664921.66666666674</v>
      </c>
      <c r="J17" s="270"/>
      <c r="K17" s="263"/>
    </row>
    <row r="18" spans="1:13" ht="15.75" thickBot="1" x14ac:dyDescent="0.3">
      <c r="A18" s="36"/>
      <c r="B18" s="39"/>
      <c r="C18" s="264"/>
      <c r="D18" s="264"/>
      <c r="E18" s="59"/>
      <c r="F18" s="58">
        <v>9638503.1783496086</v>
      </c>
      <c r="G18" s="58">
        <f>SUM(G15:G17)</f>
        <v>9439948</v>
      </c>
      <c r="H18" s="58">
        <f>SUM(H15:H17)</f>
        <v>7665936.5625</v>
      </c>
      <c r="J18" s="211"/>
      <c r="K18" s="263"/>
    </row>
    <row r="19" spans="1:13" ht="15.75" thickTop="1" x14ac:dyDescent="0.25">
      <c r="A19" s="36"/>
      <c r="B19" s="39"/>
      <c r="C19" s="264"/>
      <c r="D19" s="264"/>
      <c r="E19" s="63"/>
      <c r="F19" s="59"/>
      <c r="G19" s="59"/>
      <c r="H19" s="59"/>
      <c r="J19" s="211"/>
      <c r="K19" s="263"/>
    </row>
    <row r="20" spans="1:13" x14ac:dyDescent="0.25">
      <c r="A20" s="36"/>
      <c r="B20" s="39" t="s">
        <v>159</v>
      </c>
      <c r="C20" s="264"/>
      <c r="D20" s="264"/>
      <c r="E20" s="59"/>
      <c r="F20" s="59">
        <v>100000</v>
      </c>
      <c r="G20" s="59">
        <v>120000</v>
      </c>
      <c r="H20" s="211">
        <v>100000</v>
      </c>
      <c r="J20" s="211"/>
      <c r="K20" s="263"/>
    </row>
    <row r="21" spans="1:13" x14ac:dyDescent="0.25">
      <c r="A21" s="36"/>
      <c r="B21" s="39" t="s">
        <v>115</v>
      </c>
      <c r="C21" s="264"/>
      <c r="D21" s="264"/>
      <c r="E21" s="59"/>
      <c r="F21" s="59">
        <v>1000000</v>
      </c>
      <c r="G21" s="59">
        <v>1000000</v>
      </c>
      <c r="H21" s="59">
        <v>1000000</v>
      </c>
      <c r="J21" s="211"/>
      <c r="K21" s="263"/>
    </row>
    <row r="22" spans="1:13" x14ac:dyDescent="0.25">
      <c r="A22" s="36"/>
      <c r="B22" s="39" t="s">
        <v>116</v>
      </c>
      <c r="C22" s="264"/>
      <c r="D22" s="264"/>
      <c r="E22" s="59"/>
      <c r="F22" s="59">
        <v>2800000</v>
      </c>
      <c r="G22" s="59">
        <v>2800000</v>
      </c>
      <c r="H22" s="59">
        <v>3000000</v>
      </c>
      <c r="J22" s="211"/>
      <c r="K22" s="263"/>
    </row>
    <row r="23" spans="1:13" ht="16.5" x14ac:dyDescent="0.35">
      <c r="A23" s="36"/>
      <c r="B23" s="39" t="s">
        <v>264</v>
      </c>
      <c r="C23" s="264"/>
      <c r="D23" s="264"/>
      <c r="E23" s="271"/>
      <c r="F23" s="271"/>
      <c r="G23" s="271"/>
      <c r="H23" s="59">
        <f>+L4</f>
        <v>65253.152681976644</v>
      </c>
      <c r="J23" s="212"/>
      <c r="K23" s="263"/>
    </row>
    <row r="24" spans="1:13" ht="16.5" x14ac:dyDescent="0.35">
      <c r="A24" s="36"/>
      <c r="B24" s="39" t="s">
        <v>265</v>
      </c>
      <c r="C24" s="264"/>
      <c r="D24" s="264"/>
      <c r="E24" s="271"/>
      <c r="F24" s="271"/>
      <c r="G24" s="271"/>
      <c r="H24" s="59">
        <f>+L5</f>
        <v>48533.325547200016</v>
      </c>
      <c r="J24" s="212"/>
      <c r="K24" s="263"/>
    </row>
    <row r="25" spans="1:13" ht="17.25" thickBot="1" x14ac:dyDescent="0.4">
      <c r="A25" s="36"/>
      <c r="B25" s="39"/>
      <c r="C25" s="264"/>
      <c r="D25" s="264"/>
      <c r="E25" s="271"/>
      <c r="F25" s="271"/>
      <c r="G25" s="271"/>
      <c r="H25" s="271"/>
      <c r="J25" s="212"/>
      <c r="K25" s="263"/>
    </row>
    <row r="26" spans="1:13" ht="15.75" thickBot="1" x14ac:dyDescent="0.3">
      <c r="A26" s="36"/>
      <c r="B26" s="39"/>
      <c r="C26" s="264"/>
      <c r="D26" s="264"/>
      <c r="E26" s="272"/>
      <c r="F26" s="60">
        <f t="shared" ref="F26:G26" si="0">+F18+F20+F21+F22+F23</f>
        <v>13538503.178349609</v>
      </c>
      <c r="G26" s="60">
        <f t="shared" si="0"/>
        <v>13359948</v>
      </c>
      <c r="H26" s="60">
        <f>SUM(H18:H25)</f>
        <v>11879723.040729176</v>
      </c>
      <c r="I26" s="269"/>
      <c r="J26" s="211">
        <f>+H26-'Proj Rev (2022) -6yr average '!H26</f>
        <v>592856.75</v>
      </c>
      <c r="K26" s="270"/>
    </row>
    <row r="27" spans="1:13" x14ac:dyDescent="0.25">
      <c r="A27" s="36"/>
      <c r="B27" s="39"/>
      <c r="C27" s="264"/>
      <c r="D27" s="264"/>
      <c r="E27" s="38"/>
      <c r="F27" s="38"/>
      <c r="G27" s="59"/>
      <c r="H27" s="59"/>
      <c r="J27" s="183"/>
      <c r="K27" s="263"/>
    </row>
    <row r="28" spans="1:13" x14ac:dyDescent="0.25">
      <c r="A28" s="273" t="s">
        <v>261</v>
      </c>
      <c r="C28" s="38"/>
      <c r="D28" s="63"/>
      <c r="E28" s="63"/>
      <c r="F28" s="63"/>
      <c r="G28" s="38"/>
    </row>
    <row r="29" spans="1:13" x14ac:dyDescent="0.25">
      <c r="A29" s="273"/>
      <c r="B29" s="64"/>
      <c r="C29" s="65"/>
      <c r="D29" s="66"/>
      <c r="E29" s="66"/>
      <c r="F29" s="66"/>
      <c r="G29" s="65"/>
      <c r="I29" s="340"/>
      <c r="J29" s="340"/>
      <c r="K29" s="340"/>
      <c r="L29" s="340"/>
      <c r="M29" s="340"/>
    </row>
    <row r="30" spans="1:13" x14ac:dyDescent="0.25">
      <c r="A30" s="38"/>
      <c r="B30" s="67" t="s">
        <v>120</v>
      </c>
      <c r="C30" s="68" t="s">
        <v>202</v>
      </c>
      <c r="D30" s="68" t="s">
        <v>203</v>
      </c>
      <c r="E30" s="68" t="s">
        <v>137</v>
      </c>
      <c r="F30" s="68" t="s">
        <v>79</v>
      </c>
      <c r="G30" s="38"/>
      <c r="I30" s="178"/>
      <c r="J30" s="179"/>
      <c r="K30" s="179"/>
      <c r="L30" s="292"/>
      <c r="M30" s="179"/>
    </row>
    <row r="31" spans="1:13" x14ac:dyDescent="0.25">
      <c r="A31" s="69"/>
      <c r="B31" s="70" t="s">
        <v>124</v>
      </c>
      <c r="C31" s="61">
        <f>+[26]Headcount!$N$7</f>
        <v>941.5</v>
      </c>
      <c r="D31" s="61">
        <f>+[26]Headcount!$N$21</f>
        <v>833.66666666666663</v>
      </c>
      <c r="E31" s="61">
        <f>+[26]Headcount!$N$36</f>
        <v>431.83333333333331</v>
      </c>
      <c r="F31" s="61">
        <f>SUM(C31:E31)</f>
        <v>2207</v>
      </c>
      <c r="G31" s="71"/>
      <c r="I31" s="182"/>
      <c r="J31" s="183"/>
      <c r="K31" s="183"/>
      <c r="L31" s="293"/>
      <c r="M31" s="183"/>
    </row>
    <row r="32" spans="1:13" x14ac:dyDescent="0.25">
      <c r="A32" s="69"/>
      <c r="B32" s="70" t="s">
        <v>237</v>
      </c>
      <c r="C32" s="61">
        <f>+[26]Headcount!$N$8</f>
        <v>550.33333333333337</v>
      </c>
      <c r="D32" s="61">
        <f>+[26]Headcount!$N$22</f>
        <v>419.66666666666669</v>
      </c>
      <c r="E32" s="61">
        <f>+[26]Headcount!$N$37</f>
        <v>220.83333333333334</v>
      </c>
      <c r="F32" s="61">
        <f t="shared" ref="F32:F35" si="1">SUM(C32:E32)</f>
        <v>1190.8333333333333</v>
      </c>
      <c r="G32" s="71"/>
      <c r="I32" s="182"/>
      <c r="J32" s="183"/>
      <c r="K32" s="183"/>
      <c r="L32" s="293"/>
      <c r="M32" s="183"/>
    </row>
    <row r="33" spans="1:13" s="274" customFormat="1" x14ac:dyDescent="0.25">
      <c r="A33" s="69"/>
      <c r="B33" s="70" t="s">
        <v>49</v>
      </c>
      <c r="C33" s="61">
        <f>+[26]Headcount!$N$9</f>
        <v>253.16666666666666</v>
      </c>
      <c r="D33" s="61">
        <f>+[26]Headcount!$N$23</f>
        <v>217.83333333333334</v>
      </c>
      <c r="E33" s="61">
        <f>+[26]Headcount!$N$38</f>
        <v>154.66666666666666</v>
      </c>
      <c r="F33" s="61">
        <f t="shared" si="1"/>
        <v>625.66666666666663</v>
      </c>
      <c r="I33" s="182"/>
      <c r="J33" s="183"/>
      <c r="K33" s="183"/>
      <c r="L33" s="293"/>
      <c r="M33" s="183"/>
    </row>
    <row r="34" spans="1:13" x14ac:dyDescent="0.25">
      <c r="A34" s="69"/>
      <c r="B34" s="70" t="s">
        <v>50</v>
      </c>
      <c r="C34" s="61">
        <f>+[26]Headcount!$N$10</f>
        <v>172</v>
      </c>
      <c r="D34" s="61">
        <f>+[26]Headcount!$N$24</f>
        <v>147.66666666666666</v>
      </c>
      <c r="E34" s="61">
        <f>+[26]Headcount!$N$39</f>
        <v>114</v>
      </c>
      <c r="F34" s="61">
        <f t="shared" si="1"/>
        <v>433.66666666666663</v>
      </c>
      <c r="G34" s="71"/>
      <c r="I34" s="182"/>
      <c r="J34" s="183"/>
      <c r="K34" s="183"/>
      <c r="L34" s="293"/>
      <c r="M34" s="183"/>
    </row>
    <row r="35" spans="1:13" x14ac:dyDescent="0.25">
      <c r="A35" s="69"/>
      <c r="B35" s="70" t="s">
        <v>51</v>
      </c>
      <c r="C35" s="61">
        <f>+[26]Headcount!$N$11</f>
        <v>168.66666666666666</v>
      </c>
      <c r="D35" s="61">
        <f>+[26]Headcount!$N$25</f>
        <v>148.5</v>
      </c>
      <c r="E35" s="61">
        <f>+[26]Headcount!$N$40</f>
        <v>95.833333333333329</v>
      </c>
      <c r="F35" s="61">
        <f t="shared" si="1"/>
        <v>412.99999999999994</v>
      </c>
      <c r="I35" s="182"/>
      <c r="J35" s="183"/>
      <c r="K35" s="183"/>
      <c r="L35" s="293"/>
      <c r="M35" s="183"/>
    </row>
    <row r="36" spans="1:13" x14ac:dyDescent="0.25">
      <c r="A36" s="69"/>
      <c r="B36" s="73" t="s">
        <v>79</v>
      </c>
      <c r="C36" s="74">
        <f>SUM(C31:C35)</f>
        <v>2085.666666666667</v>
      </c>
      <c r="D36" s="74">
        <f>SUM(D31:D35)</f>
        <v>1767.3333333333333</v>
      </c>
      <c r="E36" s="74">
        <f>SUM(E31:E35)</f>
        <v>1017.1666666666666</v>
      </c>
      <c r="F36" s="74">
        <f>SUM(F31:F35)</f>
        <v>4870.1666666666661</v>
      </c>
      <c r="I36" s="189"/>
      <c r="J36" s="80"/>
      <c r="K36" s="80"/>
      <c r="L36" s="294"/>
      <c r="M36" s="80"/>
    </row>
    <row r="37" spans="1:13" x14ac:dyDescent="0.25">
      <c r="F37" s="269">
        <f>+F36-[26]Headcount!$N$12-[26]Headcount!$N$26-[26]Headcount!$N$41</f>
        <v>0</v>
      </c>
    </row>
    <row r="38" spans="1:13" x14ac:dyDescent="0.25">
      <c r="A38" s="273" t="s">
        <v>262</v>
      </c>
      <c r="C38" s="38"/>
      <c r="D38" s="63"/>
      <c r="E38" s="63"/>
      <c r="F38" s="63"/>
      <c r="M38" s="269"/>
    </row>
    <row r="39" spans="1:13" x14ac:dyDescent="0.25">
      <c r="A39" s="273"/>
      <c r="B39" s="64"/>
      <c r="C39" s="38"/>
      <c r="D39" s="63"/>
      <c r="E39" s="63"/>
      <c r="F39" s="63"/>
      <c r="I39" s="341" t="s">
        <v>155</v>
      </c>
      <c r="J39" s="341"/>
      <c r="K39" s="341"/>
      <c r="L39" s="341"/>
      <c r="M39" s="341"/>
    </row>
    <row r="40" spans="1:13" x14ac:dyDescent="0.25">
      <c r="A40" s="38"/>
      <c r="B40" s="67" t="s">
        <v>120</v>
      </c>
      <c r="C40" s="68" t="s">
        <v>202</v>
      </c>
      <c r="D40" s="68" t="s">
        <v>203</v>
      </c>
      <c r="E40" s="68" t="s">
        <v>137</v>
      </c>
      <c r="I40" s="275" t="s">
        <v>120</v>
      </c>
      <c r="J40" s="276" t="s">
        <v>202</v>
      </c>
      <c r="K40" s="276" t="s">
        <v>203</v>
      </c>
      <c r="L40" s="295" t="s">
        <v>137</v>
      </c>
      <c r="M40" s="276"/>
    </row>
    <row r="41" spans="1:13" x14ac:dyDescent="0.25">
      <c r="A41" s="69"/>
      <c r="B41" s="70" t="s">
        <v>124</v>
      </c>
      <c r="C41" s="75">
        <v>13</v>
      </c>
      <c r="D41" s="75">
        <v>13</v>
      </c>
      <c r="E41" s="75">
        <v>6</v>
      </c>
      <c r="I41" s="277" t="s">
        <v>124</v>
      </c>
      <c r="J41" s="278">
        <v>12.905331882480958</v>
      </c>
      <c r="K41" s="278">
        <v>12.603686635944701</v>
      </c>
      <c r="L41" s="296">
        <v>5.6954643628509718</v>
      </c>
      <c r="M41" s="279"/>
    </row>
    <row r="42" spans="1:13" x14ac:dyDescent="0.25">
      <c r="A42" s="69"/>
      <c r="B42" s="70" t="s">
        <v>237</v>
      </c>
      <c r="C42" s="75">
        <v>12</v>
      </c>
      <c r="D42" s="75">
        <v>12</v>
      </c>
      <c r="E42" s="75">
        <v>6</v>
      </c>
      <c r="I42" s="277" t="s">
        <v>48</v>
      </c>
      <c r="J42" s="278">
        <v>10.853781512605043</v>
      </c>
      <c r="K42" s="278">
        <v>9.8886554621848735</v>
      </c>
      <c r="L42" s="296">
        <v>4.9814814814814818</v>
      </c>
      <c r="M42" s="279"/>
    </row>
    <row r="43" spans="1:13" x14ac:dyDescent="0.25">
      <c r="A43" s="69"/>
      <c r="B43" s="70" t="s">
        <v>49</v>
      </c>
      <c r="C43" s="75">
        <v>12</v>
      </c>
      <c r="D43" s="75">
        <v>12</v>
      </c>
      <c r="E43" s="75">
        <v>6</v>
      </c>
      <c r="I43" s="277" t="s">
        <v>49</v>
      </c>
      <c r="J43" s="278">
        <v>11.52</v>
      </c>
      <c r="K43" s="278">
        <v>11.582474226804123</v>
      </c>
      <c r="L43" s="296">
        <v>5.3913043478260869</v>
      </c>
      <c r="M43" s="279"/>
    </row>
    <row r="44" spans="1:13" x14ac:dyDescent="0.25">
      <c r="A44" s="69"/>
      <c r="B44" s="70" t="s">
        <v>50</v>
      </c>
      <c r="C44" s="75">
        <v>12</v>
      </c>
      <c r="D44" s="75">
        <v>12</v>
      </c>
      <c r="E44" s="75">
        <v>6</v>
      </c>
      <c r="F44" s="280"/>
      <c r="G44" s="280"/>
      <c r="I44" s="277" t="s">
        <v>50</v>
      </c>
      <c r="J44" s="278">
        <v>9.6900584795321638</v>
      </c>
      <c r="K44" s="278">
        <v>9.5126582278481013</v>
      </c>
      <c r="L44" s="296">
        <v>5.2234042553191493</v>
      </c>
      <c r="M44" s="279"/>
    </row>
    <row r="45" spans="1:13" x14ac:dyDescent="0.25">
      <c r="A45" s="69"/>
      <c r="B45" s="70" t="s">
        <v>51</v>
      </c>
      <c r="C45" s="75">
        <v>12</v>
      </c>
      <c r="D45" s="75">
        <v>12</v>
      </c>
      <c r="E45" s="75">
        <v>6</v>
      </c>
      <c r="I45" s="277" t="s">
        <v>51</v>
      </c>
      <c r="J45" s="278">
        <v>10.757961783439491</v>
      </c>
      <c r="K45" s="278">
        <v>10.141975308641975</v>
      </c>
      <c r="L45" s="296">
        <v>5.364583333333333</v>
      </c>
      <c r="M45" s="279"/>
    </row>
    <row r="46" spans="1:13" x14ac:dyDescent="0.25">
      <c r="A46" s="69"/>
      <c r="B46" s="73" t="s">
        <v>126</v>
      </c>
      <c r="C46" s="78">
        <f>SUM(C41:C45)/5</f>
        <v>12.2</v>
      </c>
      <c r="D46" s="78">
        <f>SUM(D41:D45)/5</f>
        <v>12.2</v>
      </c>
      <c r="E46" s="78">
        <f>SUM(E41:E45)/5</f>
        <v>6</v>
      </c>
      <c r="I46" s="281" t="s">
        <v>126</v>
      </c>
      <c r="J46" s="282">
        <f>SUM(J41:J45)/5</f>
        <v>11.145426731611531</v>
      </c>
      <c r="K46" s="282">
        <f>SUM(K41:K45)/5</f>
        <v>10.745889972284754</v>
      </c>
      <c r="L46" s="297">
        <f>SUM(L41:L45)/5</f>
        <v>5.3312475561622046</v>
      </c>
      <c r="M46" s="279"/>
    </row>
    <row r="48" spans="1:13" x14ac:dyDescent="0.25">
      <c r="A48" s="273" t="s">
        <v>263</v>
      </c>
    </row>
    <row r="49" spans="1:6" x14ac:dyDescent="0.25">
      <c r="B49" s="67" t="s">
        <v>120</v>
      </c>
      <c r="C49" s="68" t="s">
        <v>202</v>
      </c>
      <c r="D49" s="68" t="s">
        <v>203</v>
      </c>
      <c r="E49" s="68" t="s">
        <v>137</v>
      </c>
      <c r="F49" s="68" t="s">
        <v>79</v>
      </c>
    </row>
    <row r="50" spans="1:6" x14ac:dyDescent="0.25">
      <c r="B50" s="70" t="s">
        <v>124</v>
      </c>
      <c r="C50" s="61">
        <f>+C31*C41</f>
        <v>12239.5</v>
      </c>
      <c r="D50" s="61">
        <f>+D41*D31</f>
        <v>10837.666666666666</v>
      </c>
      <c r="E50" s="61">
        <f>+E31*E41</f>
        <v>2591</v>
      </c>
      <c r="F50" s="61">
        <f>SUM(C50:E50)</f>
        <v>25668.166666666664</v>
      </c>
    </row>
    <row r="51" spans="1:6" x14ac:dyDescent="0.25">
      <c r="B51" s="70" t="s">
        <v>237</v>
      </c>
      <c r="C51" s="61">
        <f t="shared" ref="C51:C54" si="2">+C32*C42</f>
        <v>6604</v>
      </c>
      <c r="D51" s="61">
        <f t="shared" ref="D51:D54" si="3">+D42*D32</f>
        <v>5036</v>
      </c>
      <c r="E51" s="61">
        <f t="shared" ref="E51:E54" si="4">+E32*E42</f>
        <v>1325</v>
      </c>
      <c r="F51" s="61">
        <f>SUM(C51:E51)</f>
        <v>12965</v>
      </c>
    </row>
    <row r="52" spans="1:6" x14ac:dyDescent="0.25">
      <c r="B52" s="70" t="s">
        <v>49</v>
      </c>
      <c r="C52" s="61">
        <f t="shared" si="2"/>
        <v>3038</v>
      </c>
      <c r="D52" s="61">
        <f t="shared" si="3"/>
        <v>2614</v>
      </c>
      <c r="E52" s="61">
        <f t="shared" si="4"/>
        <v>928</v>
      </c>
      <c r="F52" s="61">
        <f t="shared" ref="F52:F54" si="5">SUM(C52:E52)</f>
        <v>6580</v>
      </c>
    </row>
    <row r="53" spans="1:6" x14ac:dyDescent="0.25">
      <c r="B53" s="70" t="s">
        <v>50</v>
      </c>
      <c r="C53" s="61">
        <f t="shared" si="2"/>
        <v>2064</v>
      </c>
      <c r="D53" s="61">
        <f t="shared" si="3"/>
        <v>1772</v>
      </c>
      <c r="E53" s="61">
        <f t="shared" si="4"/>
        <v>684</v>
      </c>
      <c r="F53" s="61">
        <f t="shared" si="5"/>
        <v>4520</v>
      </c>
    </row>
    <row r="54" spans="1:6" x14ac:dyDescent="0.25">
      <c r="B54" s="70" t="s">
        <v>51</v>
      </c>
      <c r="C54" s="61">
        <f t="shared" si="2"/>
        <v>2024</v>
      </c>
      <c r="D54" s="61">
        <f t="shared" si="3"/>
        <v>1782</v>
      </c>
      <c r="E54" s="61">
        <f t="shared" si="4"/>
        <v>575</v>
      </c>
      <c r="F54" s="61">
        <f t="shared" si="5"/>
        <v>4381</v>
      </c>
    </row>
    <row r="55" spans="1:6" x14ac:dyDescent="0.25">
      <c r="B55" s="73" t="s">
        <v>79</v>
      </c>
      <c r="C55" s="74">
        <f>SUM(C50:C54)</f>
        <v>25969.5</v>
      </c>
      <c r="D55" s="74">
        <f t="shared" ref="D55:F55" si="6">SUM(D50:D54)</f>
        <v>22041.666666666664</v>
      </c>
      <c r="E55" s="74">
        <f t="shared" si="6"/>
        <v>6103</v>
      </c>
      <c r="F55" s="74">
        <f t="shared" si="6"/>
        <v>54114.166666666664</v>
      </c>
    </row>
    <row r="56" spans="1:6" x14ac:dyDescent="0.25">
      <c r="F56" s="269">
        <f>+F55-[26]Headcount!$O$12-[26]Headcount!$O$26-[26]Headcount!$O$41</f>
        <v>3145.9999999999973</v>
      </c>
    </row>
    <row r="57" spans="1:6" x14ac:dyDescent="0.25">
      <c r="A57" s="273" t="s">
        <v>131</v>
      </c>
    </row>
    <row r="58" spans="1:6" x14ac:dyDescent="0.25">
      <c r="B58" s="283" t="s">
        <v>132</v>
      </c>
    </row>
    <row r="59" spans="1:6" x14ac:dyDescent="0.25">
      <c r="B59" s="70" t="s">
        <v>124</v>
      </c>
      <c r="C59" s="61">
        <f>+C50*135</f>
        <v>1652332.5</v>
      </c>
      <c r="D59" s="61">
        <f t="shared" ref="C59:E63" si="7">+D50*135</f>
        <v>1463085</v>
      </c>
      <c r="E59" s="61">
        <f t="shared" si="7"/>
        <v>349785</v>
      </c>
      <c r="F59" s="61">
        <f>SUM(C59:E59)</f>
        <v>3465202.5</v>
      </c>
    </row>
    <row r="60" spans="1:6" x14ac:dyDescent="0.25">
      <c r="B60" s="70" t="s">
        <v>237</v>
      </c>
      <c r="C60" s="61">
        <f>+C51*135</f>
        <v>891540</v>
      </c>
      <c r="D60" s="61">
        <f t="shared" si="7"/>
        <v>679860</v>
      </c>
      <c r="E60" s="61">
        <f t="shared" si="7"/>
        <v>178875</v>
      </c>
      <c r="F60" s="61">
        <f t="shared" ref="F60:F63" si="8">SUM(C60:E60)</f>
        <v>1750275</v>
      </c>
    </row>
    <row r="61" spans="1:6" x14ac:dyDescent="0.25">
      <c r="B61" s="70" t="s">
        <v>49</v>
      </c>
      <c r="C61" s="61">
        <f t="shared" si="7"/>
        <v>410130</v>
      </c>
      <c r="D61" s="61">
        <f t="shared" si="7"/>
        <v>352890</v>
      </c>
      <c r="E61" s="61">
        <f t="shared" si="7"/>
        <v>125280</v>
      </c>
      <c r="F61" s="61">
        <f t="shared" si="8"/>
        <v>888300</v>
      </c>
    </row>
    <row r="62" spans="1:6" x14ac:dyDescent="0.25">
      <c r="B62" s="70" t="s">
        <v>50</v>
      </c>
      <c r="C62" s="61">
        <f t="shared" si="7"/>
        <v>278640</v>
      </c>
      <c r="D62" s="61">
        <f t="shared" si="7"/>
        <v>239220</v>
      </c>
      <c r="E62" s="61">
        <f t="shared" si="7"/>
        <v>92340</v>
      </c>
      <c r="F62" s="61">
        <f t="shared" si="8"/>
        <v>610200</v>
      </c>
    </row>
    <row r="63" spans="1:6" x14ac:dyDescent="0.25">
      <c r="B63" s="70" t="s">
        <v>51</v>
      </c>
      <c r="C63" s="61">
        <f t="shared" si="7"/>
        <v>273240</v>
      </c>
      <c r="D63" s="61">
        <f t="shared" si="7"/>
        <v>240570</v>
      </c>
      <c r="E63" s="61">
        <f t="shared" si="7"/>
        <v>77625</v>
      </c>
      <c r="F63" s="61">
        <f t="shared" si="8"/>
        <v>591435</v>
      </c>
    </row>
    <row r="64" spans="1:6" x14ac:dyDescent="0.25">
      <c r="B64" s="73" t="s">
        <v>79</v>
      </c>
      <c r="C64" s="74">
        <f>SUM(C59:C63)</f>
        <v>3505882.5</v>
      </c>
      <c r="D64" s="74">
        <f t="shared" ref="D64:F64" si="9">SUM(D59:D63)</f>
        <v>2975625</v>
      </c>
      <c r="E64" s="74">
        <f t="shared" si="9"/>
        <v>823905</v>
      </c>
      <c r="F64" s="74">
        <f t="shared" si="9"/>
        <v>7305412.5</v>
      </c>
    </row>
    <row r="66" spans="1:7" x14ac:dyDescent="0.25">
      <c r="B66" s="283" t="s">
        <v>133</v>
      </c>
    </row>
    <row r="67" spans="1:7" x14ac:dyDescent="0.25">
      <c r="B67" s="70" t="s">
        <v>124</v>
      </c>
      <c r="C67" s="61">
        <f>+C59*0.925</f>
        <v>1528407.5625</v>
      </c>
      <c r="D67" s="61">
        <f t="shared" ref="D67:E67" si="10">+D59*0.925</f>
        <v>1353353.625</v>
      </c>
      <c r="E67" s="61">
        <f t="shared" si="10"/>
        <v>323551.125</v>
      </c>
      <c r="F67" s="61">
        <f>SUM(C67:E67)</f>
        <v>3205312.3125</v>
      </c>
    </row>
    <row r="68" spans="1:7" x14ac:dyDescent="0.25">
      <c r="B68" s="70" t="s">
        <v>237</v>
      </c>
      <c r="C68" s="61">
        <f t="shared" ref="C68:E71" si="11">+C60*0.925</f>
        <v>824674.5</v>
      </c>
      <c r="D68" s="61">
        <f t="shared" si="11"/>
        <v>628870.5</v>
      </c>
      <c r="E68" s="61">
        <f t="shared" si="11"/>
        <v>165459.375</v>
      </c>
      <c r="F68" s="61">
        <f t="shared" ref="F68:F71" si="12">SUM(C68:E68)</f>
        <v>1619004.375</v>
      </c>
    </row>
    <row r="69" spans="1:7" x14ac:dyDescent="0.25">
      <c r="B69" s="70" t="s">
        <v>49</v>
      </c>
      <c r="C69" s="61">
        <f t="shared" si="11"/>
        <v>379370.25</v>
      </c>
      <c r="D69" s="61">
        <f t="shared" si="11"/>
        <v>326423.25</v>
      </c>
      <c r="E69" s="61">
        <f t="shared" si="11"/>
        <v>115884</v>
      </c>
      <c r="F69" s="61">
        <f t="shared" si="12"/>
        <v>821677.5</v>
      </c>
    </row>
    <row r="70" spans="1:7" x14ac:dyDescent="0.25">
      <c r="B70" s="70" t="s">
        <v>50</v>
      </c>
      <c r="C70" s="61">
        <f t="shared" si="11"/>
        <v>257742</v>
      </c>
      <c r="D70" s="61">
        <f t="shared" si="11"/>
        <v>221278.5</v>
      </c>
      <c r="E70" s="61">
        <f t="shared" si="11"/>
        <v>85414.5</v>
      </c>
      <c r="F70" s="61">
        <f t="shared" si="12"/>
        <v>564435</v>
      </c>
    </row>
    <row r="71" spans="1:7" x14ac:dyDescent="0.25">
      <c r="B71" s="70" t="s">
        <v>51</v>
      </c>
      <c r="C71" s="61">
        <f t="shared" si="11"/>
        <v>252747</v>
      </c>
      <c r="D71" s="61">
        <f t="shared" si="11"/>
        <v>222527.25</v>
      </c>
      <c r="E71" s="61">
        <f t="shared" si="11"/>
        <v>71803.125</v>
      </c>
      <c r="F71" s="61">
        <f t="shared" si="12"/>
        <v>547077.375</v>
      </c>
    </row>
    <row r="72" spans="1:7" ht="15.75" thickBot="1" x14ac:dyDescent="0.3">
      <c r="B72" s="73" t="s">
        <v>79</v>
      </c>
      <c r="C72" s="49">
        <f>SUM(C67:C71)</f>
        <v>3242941.3125</v>
      </c>
      <c r="D72" s="49">
        <f t="shared" ref="D72:F72" si="13">SUM(D67:D71)</f>
        <v>2752453.125</v>
      </c>
      <c r="E72" s="49">
        <f t="shared" si="13"/>
        <v>762112.125</v>
      </c>
      <c r="F72" s="49">
        <f t="shared" si="13"/>
        <v>6757506.5625</v>
      </c>
      <c r="G72" s="269"/>
    </row>
    <row r="73" spans="1:7" x14ac:dyDescent="0.25">
      <c r="B73" s="73"/>
      <c r="C73" s="80"/>
      <c r="D73" s="80"/>
      <c r="E73" s="80"/>
      <c r="F73" s="80"/>
    </row>
    <row r="74" spans="1:7" x14ac:dyDescent="0.25">
      <c r="A74" s="284"/>
      <c r="B74" s="284"/>
      <c r="C74" s="284"/>
      <c r="D74" s="284"/>
      <c r="E74" s="284"/>
      <c r="F74" s="284"/>
      <c r="G74" s="284"/>
    </row>
    <row r="75" spans="1:7" x14ac:dyDescent="0.25">
      <c r="A75" s="273" t="s">
        <v>134</v>
      </c>
    </row>
    <row r="76" spans="1:7" x14ac:dyDescent="0.25">
      <c r="B76" s="70" t="s">
        <v>124</v>
      </c>
      <c r="C76" s="61">
        <f>+C31*50</f>
        <v>47075</v>
      </c>
      <c r="D76" s="61">
        <f t="shared" ref="D76:E80" si="14">+D31*50</f>
        <v>41683.333333333328</v>
      </c>
      <c r="E76" s="61">
        <f t="shared" si="14"/>
        <v>21591.666666666664</v>
      </c>
      <c r="F76" s="61">
        <f>SUM(C76:E76)</f>
        <v>110350</v>
      </c>
    </row>
    <row r="77" spans="1:7" x14ac:dyDescent="0.25">
      <c r="B77" s="70" t="s">
        <v>237</v>
      </c>
      <c r="C77" s="61">
        <f>+C32*50</f>
        <v>27516.666666666668</v>
      </c>
      <c r="D77" s="61">
        <f t="shared" si="14"/>
        <v>20983.333333333336</v>
      </c>
      <c r="E77" s="61">
        <f t="shared" si="14"/>
        <v>11041.666666666668</v>
      </c>
      <c r="F77" s="61">
        <f t="shared" ref="F77:F80" si="15">SUM(C77:E77)</f>
        <v>59541.666666666672</v>
      </c>
    </row>
    <row r="78" spans="1:7" x14ac:dyDescent="0.25">
      <c r="B78" s="70" t="s">
        <v>49</v>
      </c>
      <c r="C78" s="61">
        <f>+C33*50</f>
        <v>12658.333333333332</v>
      </c>
      <c r="D78" s="61">
        <f t="shared" si="14"/>
        <v>10891.666666666668</v>
      </c>
      <c r="E78" s="61">
        <f t="shared" si="14"/>
        <v>7733.333333333333</v>
      </c>
      <c r="F78" s="61">
        <f t="shared" si="15"/>
        <v>31283.333333333332</v>
      </c>
    </row>
    <row r="79" spans="1:7" x14ac:dyDescent="0.25">
      <c r="B79" s="70" t="s">
        <v>50</v>
      </c>
      <c r="C79" s="61">
        <f>+C34*50</f>
        <v>8600</v>
      </c>
      <c r="D79" s="61">
        <f t="shared" si="14"/>
        <v>7383.333333333333</v>
      </c>
      <c r="E79" s="61">
        <f t="shared" si="14"/>
        <v>5700</v>
      </c>
      <c r="F79" s="61">
        <f t="shared" si="15"/>
        <v>21683.333333333332</v>
      </c>
    </row>
    <row r="80" spans="1:7" x14ac:dyDescent="0.25">
      <c r="B80" s="70" t="s">
        <v>51</v>
      </c>
      <c r="C80" s="61">
        <f>+C35*50</f>
        <v>8433.3333333333321</v>
      </c>
      <c r="D80" s="61">
        <f t="shared" si="14"/>
        <v>7425</v>
      </c>
      <c r="E80" s="61">
        <f t="shared" si="14"/>
        <v>4791.6666666666661</v>
      </c>
      <c r="F80" s="61">
        <f t="shared" si="15"/>
        <v>20650</v>
      </c>
    </row>
    <row r="81" spans="1:7" ht="15.75" thickBot="1" x14ac:dyDescent="0.3">
      <c r="B81" s="73" t="s">
        <v>79</v>
      </c>
      <c r="C81" s="49">
        <f>SUM(C76:C80)</f>
        <v>104283.33333333333</v>
      </c>
      <c r="D81" s="49">
        <f t="shared" ref="D81:F81" si="16">SUM(D76:D80)</f>
        <v>88366.666666666657</v>
      </c>
      <c r="E81" s="49">
        <f t="shared" si="16"/>
        <v>50858.333333333328</v>
      </c>
      <c r="F81" s="49">
        <f t="shared" si="16"/>
        <v>243508.33333333337</v>
      </c>
    </row>
    <row r="85" spans="1:7" x14ac:dyDescent="0.25">
      <c r="A85" s="284"/>
      <c r="B85" s="284"/>
      <c r="C85" s="284"/>
      <c r="D85" s="284"/>
      <c r="E85" s="284"/>
      <c r="F85" s="284"/>
      <c r="G85" s="284"/>
    </row>
    <row r="86" spans="1:7" x14ac:dyDescent="0.25">
      <c r="A86" s="285" t="s">
        <v>135</v>
      </c>
      <c r="C86" s="286" t="s">
        <v>136</v>
      </c>
      <c r="D86" s="286" t="s">
        <v>137</v>
      </c>
    </row>
    <row r="87" spans="1:7" x14ac:dyDescent="0.25">
      <c r="B87" s="261" t="s">
        <v>138</v>
      </c>
      <c r="C87" s="287">
        <v>200</v>
      </c>
      <c r="D87" s="261">
        <v>50</v>
      </c>
      <c r="E87" s="288"/>
    </row>
    <row r="88" spans="1:7" x14ac:dyDescent="0.25">
      <c r="B88" s="261" t="s">
        <v>139</v>
      </c>
      <c r="C88" s="287">
        <v>70</v>
      </c>
      <c r="D88" s="261">
        <v>25</v>
      </c>
      <c r="E88" s="288"/>
    </row>
    <row r="89" spans="1:7" x14ac:dyDescent="0.25">
      <c r="A89" s="38"/>
      <c r="B89" s="86"/>
      <c r="C89" s="38"/>
      <c r="D89" s="38"/>
      <c r="E89" s="38"/>
      <c r="F89" s="38"/>
    </row>
    <row r="90" spans="1:7" x14ac:dyDescent="0.25">
      <c r="B90" s="283" t="s">
        <v>140</v>
      </c>
      <c r="C90" s="68" t="s">
        <v>202</v>
      </c>
      <c r="D90" s="68" t="s">
        <v>203</v>
      </c>
      <c r="E90" s="68" t="s">
        <v>137</v>
      </c>
      <c r="F90" s="68" t="s">
        <v>79</v>
      </c>
      <c r="G90" s="274"/>
    </row>
    <row r="91" spans="1:7" x14ac:dyDescent="0.25">
      <c r="B91" s="289" t="s">
        <v>138</v>
      </c>
      <c r="C91" s="61">
        <f>+'[26]FT PT'!$AF$12</f>
        <v>1465.3333333333335</v>
      </c>
      <c r="D91" s="61">
        <f>+'[26]FT PT'!$AF$22</f>
        <v>1237.8333333333333</v>
      </c>
      <c r="E91" s="61">
        <f>+'[26]FT PT'!$AF$32</f>
        <v>735.16666666666663</v>
      </c>
      <c r="F91" s="61">
        <f>SUM(C91:E91)</f>
        <v>3438.3333333333335</v>
      </c>
      <c r="G91" s="274"/>
    </row>
    <row r="92" spans="1:7" x14ac:dyDescent="0.25">
      <c r="B92" s="70" t="s">
        <v>110</v>
      </c>
      <c r="C92" s="61">
        <f>+'[26]FT PT'!$AH$12</f>
        <v>620.33333333333337</v>
      </c>
      <c r="D92" s="61">
        <f>+'[26]FT PT'!$AH$22</f>
        <v>529.5</v>
      </c>
      <c r="E92" s="61">
        <f>+'[26]FT PT'!$AH$32</f>
        <v>281.66666666666663</v>
      </c>
      <c r="F92" s="61">
        <f t="shared" ref="F92" si="17">SUM(C92:E92)</f>
        <v>1431.5</v>
      </c>
      <c r="G92" s="274"/>
    </row>
    <row r="93" spans="1:7" x14ac:dyDescent="0.25">
      <c r="B93" s="73" t="s">
        <v>79</v>
      </c>
      <c r="C93" s="74">
        <f>SUM(C91:C92)</f>
        <v>2085.666666666667</v>
      </c>
      <c r="D93" s="74">
        <f>SUM(D91:D92)</f>
        <v>1767.3333333333333</v>
      </c>
      <c r="E93" s="74">
        <f>SUM(E91:E92)</f>
        <v>1016.8333333333333</v>
      </c>
      <c r="F93" s="74">
        <f>SUM(F91:F92)</f>
        <v>4869.8333333333339</v>
      </c>
      <c r="G93" s="274"/>
    </row>
    <row r="94" spans="1:7" x14ac:dyDescent="0.25">
      <c r="C94" s="274"/>
      <c r="D94" s="274"/>
      <c r="E94" s="274"/>
      <c r="F94" s="274"/>
      <c r="G94" s="274"/>
    </row>
    <row r="95" spans="1:7" x14ac:dyDescent="0.25">
      <c r="B95" s="283"/>
      <c r="C95" s="68" t="s">
        <v>121</v>
      </c>
      <c r="D95" s="68" t="s">
        <v>122</v>
      </c>
      <c r="E95" s="68" t="s">
        <v>123</v>
      </c>
      <c r="F95" s="68" t="s">
        <v>79</v>
      </c>
      <c r="G95" s="274"/>
    </row>
    <row r="96" spans="1:7" x14ac:dyDescent="0.25">
      <c r="B96" s="289" t="s">
        <v>138</v>
      </c>
      <c r="C96" s="88">
        <f>+C91*C87</f>
        <v>293066.66666666669</v>
      </c>
      <c r="D96" s="88">
        <f>+D91*C87</f>
        <v>247566.66666666666</v>
      </c>
      <c r="E96" s="61">
        <f>+E91*D87</f>
        <v>36758.333333333328</v>
      </c>
      <c r="F96" s="61">
        <f>SUM(C96:E96)</f>
        <v>577391.66666666674</v>
      </c>
      <c r="G96" s="274"/>
    </row>
    <row r="97" spans="2:7" x14ac:dyDescent="0.25">
      <c r="B97" s="70" t="s">
        <v>110</v>
      </c>
      <c r="C97" s="88">
        <f>+C88*C92</f>
        <v>43423.333333333336</v>
      </c>
      <c r="D97" s="88">
        <f>+D92*C88</f>
        <v>37065</v>
      </c>
      <c r="E97" s="61">
        <f>+E92*D88</f>
        <v>7041.6666666666661</v>
      </c>
      <c r="F97" s="61">
        <f t="shared" ref="F97" si="18">SUM(C97:E97)</f>
        <v>87530.000000000015</v>
      </c>
      <c r="G97" s="274"/>
    </row>
    <row r="98" spans="2:7" x14ac:dyDescent="0.25">
      <c r="B98" s="73" t="s">
        <v>79</v>
      </c>
      <c r="C98" s="74">
        <f>SUM(C96:C97)</f>
        <v>336490</v>
      </c>
      <c r="D98" s="74">
        <f>SUM(D96:D97)</f>
        <v>284631.66666666663</v>
      </c>
      <c r="E98" s="74">
        <f>SUM(E96:E97)</f>
        <v>43799.999999999993</v>
      </c>
      <c r="F98" s="74">
        <f>SUM(F96:F97)</f>
        <v>664921.66666666674</v>
      </c>
      <c r="G98" s="274"/>
    </row>
    <row r="99" spans="2:7" x14ac:dyDescent="0.25">
      <c r="C99" s="274"/>
      <c r="D99" s="274"/>
      <c r="E99" s="274"/>
      <c r="F99" s="274"/>
      <c r="G99" s="274"/>
    </row>
  </sheetData>
  <mergeCells count="2">
    <mergeCell ref="I29:M29"/>
    <mergeCell ref="I39:M39"/>
  </mergeCells>
  <pageMargins left="0.45" right="0.45" top="0.75" bottom="0.75" header="0.3" footer="0.3"/>
  <pageSetup scale="7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91"/>
  <sheetViews>
    <sheetView tabSelected="1" zoomScale="125" zoomScaleNormal="125" zoomScalePageLayoutView="12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0" sqref="J10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2" style="2" bestFit="1" customWidth="1"/>
    <col min="4" max="4" width="10.7109375" style="2" hidden="1" customWidth="1"/>
    <col min="5" max="5" width="13.5703125" style="2" bestFit="1" customWidth="1"/>
    <col min="6" max="6" width="11.42578125" style="2" bestFit="1" customWidth="1"/>
    <col min="7" max="8" width="9.85546875" style="2" bestFit="1" customWidth="1"/>
    <col min="9" max="12" width="11.42578125" style="2" bestFit="1" customWidth="1"/>
    <col min="13" max="13" width="14.5703125" style="2" bestFit="1" customWidth="1"/>
    <col min="14" max="14" width="10.7109375" style="134" bestFit="1" customWidth="1"/>
    <col min="15" max="15" width="14.5703125" style="11" customWidth="1"/>
    <col min="16" max="16" width="6.5703125" style="2" customWidth="1"/>
    <col min="17" max="20" width="14.5703125" style="2" customWidth="1"/>
    <col min="21" max="21" width="4.85546875" style="2" bestFit="1" customWidth="1"/>
    <col min="22" max="22" width="14.5703125" style="2" customWidth="1"/>
    <col min="23" max="23" width="9.5703125" style="2" bestFit="1" customWidth="1"/>
    <col min="24" max="24" width="13.5703125" style="2" hidden="1" customWidth="1"/>
    <col min="25" max="25" width="8.5703125" style="2" hidden="1" customWidth="1"/>
    <col min="26" max="26" width="12.42578125" style="2" hidden="1" customWidth="1"/>
    <col min="27" max="27" width="7.5703125" style="2" hidden="1" customWidth="1"/>
    <col min="28" max="28" width="11.42578125" style="2" hidden="1" customWidth="1"/>
    <col min="29" max="29" width="6.85546875" style="2" hidden="1" customWidth="1"/>
    <col min="30" max="31" width="11.42578125" style="2" hidden="1" customWidth="1"/>
    <col min="32" max="32" width="15.140625" style="2" hidden="1" customWidth="1"/>
    <col min="33" max="33" width="15.85546875" style="11" hidden="1" customWidth="1"/>
    <col min="34" max="34" width="14.5703125" style="11" hidden="1" customWidth="1"/>
    <col min="35" max="35" width="13.7109375" style="11" hidden="1" customWidth="1"/>
    <col min="36" max="37" width="11.42578125" style="2" hidden="1" customWidth="1"/>
    <col min="38" max="39" width="13.5703125" style="2" bestFit="1" customWidth="1"/>
    <col min="40" max="40" width="11.85546875" style="2" bestFit="1" customWidth="1"/>
    <col min="41" max="241" width="11.42578125" style="2" customWidth="1"/>
    <col min="242" max="16384" width="8.85546875" style="2"/>
  </cols>
  <sheetData>
    <row r="1" spans="1:40" x14ac:dyDescent="0.2">
      <c r="A1" s="1" t="s">
        <v>0</v>
      </c>
      <c r="B1" s="5"/>
      <c r="C1" s="5"/>
      <c r="D1" s="5"/>
      <c r="E1" s="5"/>
      <c r="F1" s="5"/>
      <c r="G1" s="5"/>
      <c r="H1" s="5"/>
    </row>
    <row r="2" spans="1:40" x14ac:dyDescent="0.2">
      <c r="A2" s="4" t="s">
        <v>193</v>
      </c>
      <c r="B2" s="6"/>
      <c r="C2" s="6"/>
      <c r="D2" s="6"/>
      <c r="E2" s="6"/>
      <c r="F2" s="6"/>
      <c r="G2" s="148"/>
      <c r="H2" s="6"/>
    </row>
    <row r="3" spans="1:40" ht="15.75" customHeight="1" x14ac:dyDescent="0.2">
      <c r="A3" s="3" t="s">
        <v>256</v>
      </c>
      <c r="B3" s="6"/>
      <c r="C3" s="16"/>
      <c r="D3" s="16"/>
      <c r="E3" s="16"/>
      <c r="F3" s="16"/>
      <c r="G3" s="16"/>
      <c r="H3" s="16"/>
      <c r="I3" s="16"/>
      <c r="J3" s="147"/>
      <c r="K3" s="16"/>
      <c r="L3" s="16"/>
      <c r="M3" s="13"/>
      <c r="O3" s="108">
        <f>+'[27]Proj Rev '!$H$29</f>
        <v>12793257.436262501</v>
      </c>
      <c r="AF3" s="101"/>
      <c r="AG3" s="140" t="s">
        <v>142</v>
      </c>
    </row>
    <row r="4" spans="1:40" ht="15.75" customHeight="1" x14ac:dyDescent="0.2">
      <c r="A4" s="3"/>
      <c r="B4" s="6"/>
      <c r="C4" s="342" t="s">
        <v>47</v>
      </c>
      <c r="D4" s="342" t="s">
        <v>157</v>
      </c>
      <c r="E4" s="342" t="s">
        <v>237</v>
      </c>
      <c r="F4" s="342" t="s">
        <v>49</v>
      </c>
      <c r="G4" s="342" t="s">
        <v>50</v>
      </c>
      <c r="H4" s="342" t="s">
        <v>51</v>
      </c>
      <c r="I4" s="342" t="s">
        <v>53</v>
      </c>
      <c r="J4" s="342" t="s">
        <v>29</v>
      </c>
      <c r="K4" s="342" t="s">
        <v>28</v>
      </c>
      <c r="L4" s="342" t="s">
        <v>84</v>
      </c>
      <c r="M4" s="342" t="s">
        <v>79</v>
      </c>
      <c r="AF4" s="103" t="s">
        <v>112</v>
      </c>
      <c r="AG4" s="140" t="e">
        <f>+#REF!</f>
        <v>#REF!</v>
      </c>
      <c r="AM4" s="100"/>
    </row>
    <row r="5" spans="1:40" x14ac:dyDescent="0.2">
      <c r="A5" s="3"/>
      <c r="B5" s="6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Q5" s="219">
        <v>2018</v>
      </c>
      <c r="R5" s="219">
        <v>2019</v>
      </c>
      <c r="S5" s="219">
        <v>2020</v>
      </c>
      <c r="T5" s="219">
        <v>2021</v>
      </c>
      <c r="U5" s="219"/>
      <c r="V5" s="101" t="s">
        <v>228</v>
      </c>
      <c r="X5" s="214">
        <v>2017</v>
      </c>
      <c r="Z5" s="2" t="s">
        <v>95</v>
      </c>
      <c r="AF5" s="103" t="s">
        <v>113</v>
      </c>
      <c r="AG5" s="140" t="e">
        <f>+#REF!</f>
        <v>#REF!</v>
      </c>
      <c r="AM5" s="100"/>
    </row>
    <row r="6" spans="1:40" x14ac:dyDescent="0.2">
      <c r="B6" s="8" t="s">
        <v>58</v>
      </c>
      <c r="C6" s="9">
        <f>+'[28]2018-2022'!$AS$8</f>
        <v>231578.75312775717</v>
      </c>
      <c r="D6" s="9"/>
      <c r="E6" s="9">
        <f>+'[29]2018-2022'!$AP$8</f>
        <v>1077034.9665473904</v>
      </c>
      <c r="F6" s="9">
        <f>+'[30]2018-2022'!$AP$8</f>
        <v>770666.70699205541</v>
      </c>
      <c r="G6" s="9">
        <f>+'[31]2018-2022'!$AP$8</f>
        <v>556950</v>
      </c>
      <c r="H6" s="9">
        <f>+'[32]2018-2022'!$AP$8</f>
        <v>484066.19232774508</v>
      </c>
      <c r="I6" s="9">
        <f>+'[33]2018-2022'!$AO$8</f>
        <v>191730.93792835777</v>
      </c>
      <c r="J6" s="9">
        <f>+'[34]2018-2022'!$CU$8</f>
        <v>1466395.5301626471</v>
      </c>
      <c r="K6" s="9">
        <f>+'[35]2018-2022'!$BJ$8</f>
        <v>669938.1751075564</v>
      </c>
      <c r="L6" s="9">
        <f>+'[36]2018-2022'!$CY$8</f>
        <v>596938.7765049017</v>
      </c>
      <c r="M6" s="9">
        <f>SUM(C6:L6)</f>
        <v>6045300.0386984106</v>
      </c>
      <c r="N6" s="206"/>
      <c r="Q6" s="11">
        <v>5829666.07051876</v>
      </c>
      <c r="R6" s="11">
        <v>5922923.3350378862</v>
      </c>
      <c r="S6" s="11">
        <v>6011382.9530096911</v>
      </c>
      <c r="T6" s="11">
        <v>6000094.7209360627</v>
      </c>
      <c r="U6" s="11"/>
      <c r="V6" s="11">
        <f>+M6-T6</f>
        <v>45205.31776234787</v>
      </c>
      <c r="W6" s="100"/>
      <c r="X6" s="100">
        <f>+'[37]exp line dept(2017)'!$M$6</f>
        <v>5847969.0238652583</v>
      </c>
      <c r="Z6" s="165">
        <f t="shared" ref="Z6:Z17" si="0">+M6-X6</f>
        <v>197331.01483315229</v>
      </c>
      <c r="AA6" s="21">
        <f>Z6/M6</f>
        <v>3.2642054748309703E-2</v>
      </c>
      <c r="AF6" s="103" t="s">
        <v>114</v>
      </c>
      <c r="AG6" s="140" t="e">
        <f>+#REF!</f>
        <v>#REF!</v>
      </c>
      <c r="AL6" s="165"/>
    </row>
    <row r="7" spans="1:40" x14ac:dyDescent="0.2">
      <c r="B7" s="8" t="s">
        <v>59</v>
      </c>
      <c r="C7" s="9">
        <f>+'[28]2018-2022'!$AS$9</f>
        <v>2410.897691246766</v>
      </c>
      <c r="D7" s="9"/>
      <c r="E7" s="9">
        <f>+'[29]2018-2022'!$AP$9</f>
        <v>14739.687576549019</v>
      </c>
      <c r="F7" s="9">
        <f>+'[30]2018-2022'!$AP$9</f>
        <v>12012.428049388374</v>
      </c>
      <c r="G7" s="9">
        <f>+'[31]2018-2022'!$AP$9</f>
        <v>15552.626775147932</v>
      </c>
      <c r="H7" s="9">
        <f>+'[32]2018-2022'!$AP$9</f>
        <v>12295.400585944019</v>
      </c>
      <c r="I7" s="9">
        <f>+'[33]2018-2022'!$AO$9</f>
        <v>5048.6031841563272</v>
      </c>
      <c r="J7" s="9">
        <f>+'[34]2018-2022'!$CU$9</f>
        <v>27897.709806356987</v>
      </c>
      <c r="K7" s="9">
        <f>+'[35]2018-2022'!$BJ$9</f>
        <v>10048.66399391186</v>
      </c>
      <c r="L7" s="9">
        <f>+'[36]2018-2022'!$CY$9</f>
        <v>12559.367385221783</v>
      </c>
      <c r="M7" s="9">
        <f t="shared" ref="M7:M17" si="1">SUM(C7:L7)</f>
        <v>112565.38504792308</v>
      </c>
      <c r="N7" s="206"/>
      <c r="Q7" s="11">
        <v>140589.4312176996</v>
      </c>
      <c r="R7" s="11">
        <v>145690.69636498595</v>
      </c>
      <c r="S7" s="11">
        <v>137010.7834650914</v>
      </c>
      <c r="T7" s="11">
        <v>169123.8483226581</v>
      </c>
      <c r="U7" s="11"/>
      <c r="V7" s="11">
        <f t="shared" ref="V7:V17" si="2">+M7-T7</f>
        <v>-56558.463274735026</v>
      </c>
      <c r="W7" s="100"/>
      <c r="X7" s="100">
        <f>+'[37]exp line dept(2017)'!$M$7</f>
        <v>131874.45812427823</v>
      </c>
      <c r="Z7" s="165">
        <f t="shared" si="0"/>
        <v>-19309.073076355155</v>
      </c>
      <c r="AA7" s="21">
        <f>Z7/M7</f>
        <v>-0.17153650803161732</v>
      </c>
      <c r="AF7" s="103" t="s">
        <v>159</v>
      </c>
      <c r="AG7" s="140">
        <v>100000</v>
      </c>
      <c r="AL7" s="165">
        <f>+S7+M7</f>
        <v>249576.16851301448</v>
      </c>
    </row>
    <row r="8" spans="1:40" x14ac:dyDescent="0.2">
      <c r="B8" s="8" t="s">
        <v>60</v>
      </c>
      <c r="C8" s="9">
        <f>+'[28]2018-2022'!$AS$10</f>
        <v>0</v>
      </c>
      <c r="D8" s="9"/>
      <c r="E8" s="9">
        <f>+'[29]2018-2022'!$AP$10</f>
        <v>96505</v>
      </c>
      <c r="F8" s="9">
        <f>+'[30]2018-2022'!$AP$10</f>
        <v>62603</v>
      </c>
      <c r="G8" s="9">
        <f>+'[31]2018-2022'!$AP$10</f>
        <v>15372</v>
      </c>
      <c r="H8" s="9">
        <f>+'[32]2018-2022'!$AP$10</f>
        <v>31306</v>
      </c>
      <c r="I8" s="9">
        <f>+'[33]2018-2022'!$AO$10</f>
        <v>41544</v>
      </c>
      <c r="J8" s="9">
        <f>+'[34]2018-2022'!$CU$10</f>
        <v>248230</v>
      </c>
      <c r="K8" s="9">
        <f>+'[35]2018-2022'!$BJ$10</f>
        <v>52972.9</v>
      </c>
      <c r="L8" s="9">
        <f>+'[36]2018-2022'!$CY$10</f>
        <v>76652</v>
      </c>
      <c r="M8" s="9">
        <f t="shared" si="1"/>
        <v>625184.9</v>
      </c>
      <c r="N8" s="201"/>
      <c r="O8" s="11">
        <v>0</v>
      </c>
      <c r="Q8" s="11">
        <v>747623.33564260136</v>
      </c>
      <c r="R8" s="11">
        <v>812384.90399999998</v>
      </c>
      <c r="S8" s="11">
        <v>820502</v>
      </c>
      <c r="T8" s="11">
        <v>879301.51</v>
      </c>
      <c r="U8" s="11"/>
      <c r="V8" s="11">
        <f t="shared" si="2"/>
        <v>-254116.61</v>
      </c>
      <c r="W8" s="100"/>
      <c r="X8" s="100">
        <f>+'[37]exp line dept(2017)'!$M$8</f>
        <v>406527.69692307693</v>
      </c>
      <c r="Z8" s="165">
        <f t="shared" si="0"/>
        <v>218657.20307692309</v>
      </c>
      <c r="AA8" s="21">
        <f>Z8/M8</f>
        <v>0.34974805545835014</v>
      </c>
      <c r="AB8" s="13">
        <f>+M8-[38]Sheet1!$D$83</f>
        <v>-167597.43564260134</v>
      </c>
      <c r="AF8" s="103" t="s">
        <v>115</v>
      </c>
      <c r="AG8" s="140">
        <f>+'[39]Proj Rev '!J26</f>
        <v>1000000</v>
      </c>
      <c r="AL8" s="165"/>
      <c r="AN8" s="13">
        <f>+V8</f>
        <v>-254116.61</v>
      </c>
    </row>
    <row r="9" spans="1:40" x14ac:dyDescent="0.2">
      <c r="B9" s="8" t="s">
        <v>218</v>
      </c>
      <c r="C9" s="9">
        <v>0</v>
      </c>
      <c r="D9" s="9"/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f t="shared" si="1"/>
        <v>0</v>
      </c>
      <c r="N9" s="206"/>
      <c r="Q9" s="11">
        <v>45159</v>
      </c>
      <c r="R9" s="11">
        <v>0</v>
      </c>
      <c r="S9" s="11">
        <v>0</v>
      </c>
      <c r="T9" s="11">
        <v>16954</v>
      </c>
      <c r="U9" s="11"/>
      <c r="V9" s="11">
        <f t="shared" si="2"/>
        <v>-16954</v>
      </c>
      <c r="W9" s="100"/>
      <c r="X9" s="100">
        <f>+'[37]exp line dept(2017)'!$M$9</f>
        <v>12149</v>
      </c>
      <c r="Z9" s="165">
        <f t="shared" si="0"/>
        <v>-12149</v>
      </c>
      <c r="AA9" s="21">
        <v>0</v>
      </c>
      <c r="AF9" s="103"/>
      <c r="AG9" s="140"/>
      <c r="AL9" s="165"/>
      <c r="AN9" s="13">
        <f t="shared" ref="AN9" si="3">+V9</f>
        <v>-16954</v>
      </c>
    </row>
    <row r="10" spans="1:40" ht="15" x14ac:dyDescent="0.35">
      <c r="B10" s="8" t="s">
        <v>224</v>
      </c>
      <c r="C10" s="9">
        <v>0</v>
      </c>
      <c r="D10" s="9"/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f>+'[34]2018-2022'!$CU$17+200000</f>
        <v>573477</v>
      </c>
      <c r="K10" s="9">
        <v>0</v>
      </c>
      <c r="L10" s="9">
        <v>0</v>
      </c>
      <c r="M10" s="9">
        <f t="shared" si="1"/>
        <v>573477</v>
      </c>
      <c r="N10" s="206"/>
      <c r="O10" s="201"/>
      <c r="P10" s="134"/>
      <c r="Q10" s="201">
        <v>370000</v>
      </c>
      <c r="R10" s="201">
        <v>525000</v>
      </c>
      <c r="S10" s="201">
        <v>565000</v>
      </c>
      <c r="T10" s="201">
        <v>565000</v>
      </c>
      <c r="U10" s="201"/>
      <c r="V10" s="11">
        <f t="shared" si="2"/>
        <v>8477</v>
      </c>
      <c r="W10" s="135"/>
      <c r="X10" s="135">
        <f>+'[37]exp line dept(2017)'!$M$15</f>
        <v>430000</v>
      </c>
      <c r="Y10" s="134"/>
      <c r="Z10" s="215">
        <f t="shared" si="0"/>
        <v>143477</v>
      </c>
      <c r="AA10" s="21">
        <f t="shared" ref="AA10:AA15" si="4">Z10/M10</f>
        <v>0.25018788896503258</v>
      </c>
      <c r="AF10" s="103" t="s">
        <v>116</v>
      </c>
      <c r="AG10" s="141">
        <v>2800000</v>
      </c>
      <c r="AJ10" s="21"/>
      <c r="AL10" s="165"/>
    </row>
    <row r="11" spans="1:40" x14ac:dyDescent="0.2">
      <c r="B11" s="8" t="s">
        <v>3</v>
      </c>
      <c r="C11" s="9">
        <f>+'[28]2018-2022'!$AS$11</f>
        <v>10252.185349886833</v>
      </c>
      <c r="D11" s="9"/>
      <c r="E11" s="9">
        <f>+'[29]2018-2022'!$AP$12</f>
        <v>85428.227905449326</v>
      </c>
      <c r="F11" s="9">
        <f>+'[30]2018-2022'!$AP$12</f>
        <v>60890.645916569832</v>
      </c>
      <c r="G11" s="9">
        <f>+'[31]2018-2022'!$AP$13</f>
        <v>42415.391238905322</v>
      </c>
      <c r="H11" s="9">
        <f>+'[32]2018-2022'!$AP$12</f>
        <v>36817.936776218994</v>
      </c>
      <c r="I11" s="9">
        <f>+'[33]2018-2022'!$AO$11</f>
        <v>16053.323076923076</v>
      </c>
      <c r="J11" s="9">
        <f>+'[34]2018-2022'!$CU$11</f>
        <v>119731.27538461538</v>
      </c>
      <c r="K11" s="9">
        <f>+'[35]2018-2022'!$BJ$11</f>
        <v>49638.146745525344</v>
      </c>
      <c r="L11" s="9">
        <f>+'[36]2018-2022'!$CY$12</f>
        <v>48393.259720832692</v>
      </c>
      <c r="M11" s="9">
        <f t="shared" si="1"/>
        <v>469620.39211492677</v>
      </c>
      <c r="N11" s="206"/>
      <c r="Q11" s="11">
        <v>493945.53248512436</v>
      </c>
      <c r="R11" s="11">
        <v>467913.00943669555</v>
      </c>
      <c r="S11" s="11">
        <v>491705.78216053755</v>
      </c>
      <c r="T11" s="11">
        <v>493263.28152756678</v>
      </c>
      <c r="U11" s="11"/>
      <c r="V11" s="11">
        <f t="shared" si="2"/>
        <v>-23642.889412640012</v>
      </c>
      <c r="W11" s="100"/>
      <c r="X11" s="100">
        <f>+'[37]exp line dept(2017)'!$M$10</f>
        <v>479835.07785523392</v>
      </c>
      <c r="Z11" s="165">
        <f t="shared" si="0"/>
        <v>-10214.685740307148</v>
      </c>
      <c r="AA11" s="21">
        <f t="shared" si="4"/>
        <v>-2.1750941636723864E-2</v>
      </c>
      <c r="AF11" s="103" t="s">
        <v>79</v>
      </c>
      <c r="AG11" s="140" t="e">
        <f>SUM(AG4:AG10)</f>
        <v>#REF!</v>
      </c>
      <c r="AJ11" s="21"/>
      <c r="AL11" s="165"/>
    </row>
    <row r="12" spans="1:40" ht="15" x14ac:dyDescent="0.35">
      <c r="B12" s="8" t="s">
        <v>4</v>
      </c>
      <c r="C12" s="9">
        <f>+'[28]2018-2022'!$AS$12</f>
        <v>3863.44</v>
      </c>
      <c r="D12" s="9"/>
      <c r="E12" s="9">
        <f>+'[29]2018-2022'!$AP$13</f>
        <v>44113.96</v>
      </c>
      <c r="F12" s="9">
        <f>+'[30]2018-2022'!$AP$13</f>
        <v>34863</v>
      </c>
      <c r="G12" s="9">
        <f>+'[31]2018-2022'!$AP$14</f>
        <v>14223.04</v>
      </c>
      <c r="H12" s="9">
        <f>+'[32]2018-2022'!$AP$13</f>
        <v>17802.200000000004</v>
      </c>
      <c r="I12" s="9">
        <f>+'[33]2018-2022'!$AO$12</f>
        <v>10689.4</v>
      </c>
      <c r="J12" s="9">
        <f>+'[34]2018-2022'!$CU$12</f>
        <v>49158.46</v>
      </c>
      <c r="K12" s="9">
        <f>+'[35]2018-2022'!$BJ$12</f>
        <v>28089.659999999996</v>
      </c>
      <c r="L12" s="9">
        <f>+'[36]2018-2022'!$CY$13</f>
        <v>26169.464</v>
      </c>
      <c r="M12" s="9">
        <f t="shared" si="1"/>
        <v>228972.62400000001</v>
      </c>
      <c r="N12" s="206"/>
      <c r="Q12" s="11">
        <v>238890.44296153847</v>
      </c>
      <c r="R12" s="11">
        <v>232794.90999999997</v>
      </c>
      <c r="S12" s="11">
        <v>235586.97</v>
      </c>
      <c r="T12" s="11">
        <v>239595.06</v>
      </c>
      <c r="U12" s="11"/>
      <c r="V12" s="11">
        <f t="shared" si="2"/>
        <v>-10622.435999999987</v>
      </c>
      <c r="W12" s="100"/>
      <c r="X12" s="100">
        <f>+'[37]exp line dept(2017)'!$M$11</f>
        <v>206264.10999999996</v>
      </c>
      <c r="Z12" s="165">
        <f t="shared" si="0"/>
        <v>22708.514000000054</v>
      </c>
      <c r="AA12" s="21">
        <f t="shared" si="4"/>
        <v>9.9175672634122636E-2</v>
      </c>
      <c r="AF12" s="103" t="s">
        <v>143</v>
      </c>
      <c r="AG12" s="141">
        <f>-M68</f>
        <v>-11879723.405833181</v>
      </c>
      <c r="AJ12" s="21"/>
      <c r="AL12" s="165"/>
    </row>
    <row r="13" spans="1:40" x14ac:dyDescent="0.2">
      <c r="B13" s="8" t="s">
        <v>5</v>
      </c>
      <c r="C13" s="9">
        <f>+'[28]2018-2022'!$AS$13</f>
        <v>2086.8231001835179</v>
      </c>
      <c r="D13" s="9"/>
      <c r="E13" s="9">
        <f>+'[29]2018-2022'!$AP$14</f>
        <v>18010</v>
      </c>
      <c r="F13" s="9">
        <f>+'[30]2018-2022'!$AP$14</f>
        <v>13493.294118868074</v>
      </c>
      <c r="G13" s="9">
        <f>+'[31]2018-2022'!$AP$15</f>
        <v>8293.7659999999996</v>
      </c>
      <c r="H13" s="9">
        <f>+'[32]2018-2022'!$AP$14</f>
        <v>6323.0722045362518</v>
      </c>
      <c r="I13" s="9">
        <f>+'[33]2018-2022'!$AO$13</f>
        <v>4709.2731723832785</v>
      </c>
      <c r="J13" s="9">
        <f>+'[34]2018-2022'!$CU$13:$CU$14</f>
        <v>20910.101599999998</v>
      </c>
      <c r="K13" s="9">
        <f>+'[35]2018-2022'!$BJ$13</f>
        <v>15118.713237982161</v>
      </c>
      <c r="L13" s="9">
        <f>+'[36]2018-2022'!$CY$14</f>
        <v>12044.078363255931</v>
      </c>
      <c r="M13" s="9">
        <f t="shared" si="1"/>
        <v>100989.12179720921</v>
      </c>
      <c r="N13" s="206"/>
      <c r="Q13" s="11">
        <v>101807.07169769464</v>
      </c>
      <c r="R13" s="11">
        <v>96868.102466011565</v>
      </c>
      <c r="S13" s="11">
        <v>111465.32785920399</v>
      </c>
      <c r="T13" s="11">
        <v>111017.4690137143</v>
      </c>
      <c r="U13" s="11"/>
      <c r="V13" s="11">
        <f t="shared" si="2"/>
        <v>-10028.347216505092</v>
      </c>
      <c r="W13" s="100"/>
      <c r="X13" s="100">
        <f>+'[37]exp line dept(2017)'!$M$12</f>
        <v>73446.984850030203</v>
      </c>
      <c r="Z13" s="165">
        <f t="shared" si="0"/>
        <v>27542.136947179009</v>
      </c>
      <c r="AA13" s="21">
        <f t="shared" si="4"/>
        <v>0.27272379893039256</v>
      </c>
      <c r="AF13" s="104" t="s">
        <v>148</v>
      </c>
      <c r="AG13" s="142" t="e">
        <f>+AG11+AG12</f>
        <v>#REF!</v>
      </c>
      <c r="AH13" s="140"/>
      <c r="AI13" s="140"/>
      <c r="AL13" s="165"/>
    </row>
    <row r="14" spans="1:40" x14ac:dyDescent="0.2">
      <c r="B14" s="8" t="s">
        <v>6</v>
      </c>
      <c r="C14" s="9">
        <f>+'[28]2018-2022'!$AS$14</f>
        <v>7019.7195245701178</v>
      </c>
      <c r="D14" s="9"/>
      <c r="E14" s="9">
        <f>+'[29]2018-2022'!$AP$15</f>
        <v>34391.535008333565</v>
      </c>
      <c r="F14" s="9">
        <f>+'[30]2018-2022'!$AP$15</f>
        <v>25072.331836801506</v>
      </c>
      <c r="G14" s="9">
        <f>+'[31]2018-2022'!$AP$16</f>
        <v>7046.6900000000005</v>
      </c>
      <c r="H14" s="9">
        <f>+'[32]2018-2022'!$AP$15</f>
        <v>14213.18240279529</v>
      </c>
      <c r="I14" s="9">
        <f>+'[33]2018-2022'!$AO$14</f>
        <v>7149.7062333754229</v>
      </c>
      <c r="J14" s="9">
        <f>+'[34]2018-2022'!$CU$14</f>
        <v>37672.091538461536</v>
      </c>
      <c r="K14" s="9">
        <f>+'[35]2018-2022'!$BJ$14</f>
        <v>21356.653374604393</v>
      </c>
      <c r="L14" s="9">
        <f>+'[36]2018-2022'!$CY$15</f>
        <v>18497.159255769613</v>
      </c>
      <c r="M14" s="9">
        <f t="shared" si="1"/>
        <v>172419.06917471142</v>
      </c>
      <c r="N14" s="206"/>
      <c r="Q14" s="11">
        <v>168595.27868060925</v>
      </c>
      <c r="R14" s="11">
        <v>165544.86814155761</v>
      </c>
      <c r="S14" s="11">
        <v>181274.92009075111</v>
      </c>
      <c r="T14" s="11">
        <v>199268.3874018272</v>
      </c>
      <c r="U14" s="11"/>
      <c r="V14" s="11">
        <f t="shared" si="2"/>
        <v>-26849.318227115786</v>
      </c>
      <c r="W14" s="100"/>
      <c r="X14" s="100">
        <f>+'[37]exp line dept(2017)'!$M$13</f>
        <v>161179.81395379684</v>
      </c>
      <c r="Z14" s="165">
        <f t="shared" si="0"/>
        <v>11239.25522091458</v>
      </c>
      <c r="AA14" s="21">
        <f t="shared" si="4"/>
        <v>6.5185685520236139E-2</v>
      </c>
      <c r="AF14" s="104" t="s">
        <v>220</v>
      </c>
      <c r="AI14" s="11">
        <v>0</v>
      </c>
      <c r="AL14" s="165"/>
    </row>
    <row r="15" spans="1:40" x14ac:dyDescent="0.2">
      <c r="B15" s="8" t="s">
        <v>7</v>
      </c>
      <c r="C15" s="9">
        <f>+'[28]2018-2022'!$AS$15</f>
        <v>16800</v>
      </c>
      <c r="D15" s="9"/>
      <c r="E15" s="9">
        <f>+'[29]2018-2022'!$AP$16</f>
        <v>93600</v>
      </c>
      <c r="F15" s="9">
        <f>+'[30]2018-2022'!$AP$16</f>
        <v>122400</v>
      </c>
      <c r="G15" s="9">
        <f>+'[31]2018-2022'!$AP$17</f>
        <v>28800</v>
      </c>
      <c r="H15" s="9">
        <f>+'[32]2018-2022'!$AP$16</f>
        <v>43200</v>
      </c>
      <c r="I15" s="9">
        <f>+'[33]2018-2022'!$AO$15</f>
        <v>36000</v>
      </c>
      <c r="J15" s="9">
        <f>+'[34]2018-2022'!$CU$15</f>
        <v>259200</v>
      </c>
      <c r="K15" s="9">
        <f>+'[35]2018-2022'!$BJ$15</f>
        <v>28800</v>
      </c>
      <c r="L15" s="9">
        <f>+'[36]2018-2022'!$CY$16</f>
        <v>57600</v>
      </c>
      <c r="M15" s="9">
        <f>SUM(C15:L15)</f>
        <v>686400</v>
      </c>
      <c r="N15" s="206"/>
      <c r="Q15" s="11">
        <v>824400</v>
      </c>
      <c r="R15" s="11">
        <v>838800</v>
      </c>
      <c r="S15" s="11">
        <v>810000</v>
      </c>
      <c r="T15" s="11">
        <v>794400</v>
      </c>
      <c r="U15" s="11"/>
      <c r="V15" s="11">
        <f t="shared" si="2"/>
        <v>-108000</v>
      </c>
      <c r="W15" s="100"/>
      <c r="X15" s="100">
        <f>+'[37]exp line dept(2017)'!$M$14</f>
        <v>745200</v>
      </c>
      <c r="Z15" s="165">
        <f t="shared" si="0"/>
        <v>-58800</v>
      </c>
      <c r="AA15" s="21">
        <f t="shared" si="4"/>
        <v>-8.5664335664335664E-2</v>
      </c>
      <c r="AF15" s="104" t="s">
        <v>222</v>
      </c>
      <c r="AL15" s="165"/>
      <c r="AM15" s="165"/>
    </row>
    <row r="16" spans="1:40" hidden="1" x14ac:dyDescent="0.2">
      <c r="B16" s="8" t="s">
        <v>68</v>
      </c>
      <c r="C16" s="9">
        <v>0</v>
      </c>
      <c r="D16" s="9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f>SUM(C16:L16)</f>
        <v>0</v>
      </c>
      <c r="N16" s="206"/>
      <c r="Q16" s="11">
        <v>0</v>
      </c>
      <c r="R16" s="11">
        <v>0</v>
      </c>
      <c r="S16" s="11">
        <v>0</v>
      </c>
      <c r="T16" s="11">
        <v>0</v>
      </c>
      <c r="U16" s="11"/>
      <c r="V16" s="11">
        <f t="shared" si="2"/>
        <v>0</v>
      </c>
      <c r="W16" s="100"/>
      <c r="X16" s="100">
        <f>+'[37]exp line dept(2017)'!$M$16</f>
        <v>62000</v>
      </c>
      <c r="Z16" s="165">
        <f t="shared" si="0"/>
        <v>-62000</v>
      </c>
      <c r="AA16" s="21">
        <v>0</v>
      </c>
      <c r="AF16" s="104" t="s">
        <v>223</v>
      </c>
      <c r="AG16" s="11">
        <v>300000</v>
      </c>
    </row>
    <row r="17" spans="2:40" x14ac:dyDescent="0.2">
      <c r="B17" s="8" t="s">
        <v>33</v>
      </c>
      <c r="C17" s="9">
        <v>0</v>
      </c>
      <c r="D17" s="9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f>+'[35]2018-2022'!$BJ$29</f>
        <v>40000</v>
      </c>
      <c r="L17" s="9">
        <v>0</v>
      </c>
      <c r="M17" s="9">
        <f t="shared" si="1"/>
        <v>40000</v>
      </c>
      <c r="N17" s="206"/>
      <c r="Q17" s="11">
        <v>50000</v>
      </c>
      <c r="R17" s="11">
        <v>54491</v>
      </c>
      <c r="S17" s="11">
        <v>50000</v>
      </c>
      <c r="T17" s="11">
        <v>65000</v>
      </c>
      <c r="U17" s="11"/>
      <c r="V17" s="11">
        <f t="shared" si="2"/>
        <v>-25000</v>
      </c>
      <c r="W17" s="100"/>
      <c r="X17" s="100">
        <f>+'[37]exp line dept(2017)'!$M$17</f>
        <v>50000</v>
      </c>
      <c r="Z17" s="165">
        <f t="shared" si="0"/>
        <v>-10000</v>
      </c>
      <c r="AA17" s="21">
        <f>Z17/M17</f>
        <v>-0.25</v>
      </c>
      <c r="AN17" s="13">
        <f>+V17</f>
        <v>-25000</v>
      </c>
    </row>
    <row r="18" spans="2:40" ht="13.5" thickBot="1" x14ac:dyDescent="0.25">
      <c r="B18" s="8"/>
      <c r="C18" s="10">
        <f t="shared" ref="C18:M18" si="5">SUM(C6:C17)</f>
        <v>274011.81879364443</v>
      </c>
      <c r="D18" s="10">
        <f t="shared" si="5"/>
        <v>0</v>
      </c>
      <c r="E18" s="10">
        <f t="shared" ref="E18:L18" si="6">SUM(E6:E17)</f>
        <v>1463823.3770377224</v>
      </c>
      <c r="F18" s="10">
        <f t="shared" si="6"/>
        <v>1102001.4069136833</v>
      </c>
      <c r="G18" s="10">
        <f t="shared" si="6"/>
        <v>688653.51401405327</v>
      </c>
      <c r="H18" s="10">
        <f t="shared" si="6"/>
        <v>646023.98429723957</v>
      </c>
      <c r="I18" s="10">
        <f t="shared" si="6"/>
        <v>312925.24359519588</v>
      </c>
      <c r="J18" s="10">
        <f t="shared" si="6"/>
        <v>2802672.1684920806</v>
      </c>
      <c r="K18" s="10">
        <f t="shared" si="6"/>
        <v>915962.91245958011</v>
      </c>
      <c r="L18" s="10">
        <f t="shared" si="6"/>
        <v>848854.10522998171</v>
      </c>
      <c r="M18" s="10">
        <f t="shared" si="5"/>
        <v>9054928.530833181</v>
      </c>
      <c r="N18" s="203">
        <f>+M18/'Proj Rev (2022) -6yr(12-12-6) '!H26</f>
        <v>0.76221714090376558</v>
      </c>
      <c r="O18" s="10">
        <f>SUM(O6:O17)</f>
        <v>0</v>
      </c>
      <c r="Q18" s="218">
        <v>9010676.1632040273</v>
      </c>
      <c r="R18" s="218">
        <v>9262410.8254471384</v>
      </c>
      <c r="S18" s="218">
        <v>9473928.7365852743</v>
      </c>
      <c r="T18" s="218">
        <v>9533018.2772018276</v>
      </c>
      <c r="U18" s="259">
        <f>R18/R68</f>
        <v>0.68415324061845761</v>
      </c>
      <c r="V18" s="217">
        <f t="shared" ref="V18" si="7">SUM(V6:V17)</f>
        <v>-478089.74636864802</v>
      </c>
      <c r="W18" s="21">
        <f>+V18/S18</f>
        <v>-5.0463726259879785E-2</v>
      </c>
      <c r="X18" s="10">
        <f t="shared" ref="X18" si="8">SUM(X6:X17)</f>
        <v>8606446.1655716747</v>
      </c>
      <c r="Y18" s="203">
        <f>+X18/X68</f>
        <v>0.67505935940089523</v>
      </c>
      <c r="Z18" s="10">
        <f t="shared" ref="Z18" si="9">SUM(Z6:Z17)</f>
        <v>448482.36526150675</v>
      </c>
      <c r="AA18" s="21">
        <f>+Z18/X18</f>
        <v>5.2110052933993664E-2</v>
      </c>
      <c r="AB18" s="14"/>
      <c r="AC18" s="14">
        <f>+N18-Y18</f>
        <v>8.7157781502870346E-2</v>
      </c>
      <c r="AF18" s="104"/>
      <c r="AL18" s="14">
        <f>+N18-0.7</f>
        <v>6.2217140903765622E-2</v>
      </c>
      <c r="AM18" s="165">
        <f>+AL18*M68</f>
        <v>739122.42503848544</v>
      </c>
    </row>
    <row r="19" spans="2:40" ht="5.25" customHeight="1" thickTop="1" x14ac:dyDescent="0.2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Q19" s="11"/>
      <c r="R19" s="11"/>
      <c r="S19" s="11"/>
      <c r="T19" s="11"/>
      <c r="U19" s="11"/>
      <c r="V19" s="11"/>
      <c r="W19" s="100"/>
      <c r="X19" s="100"/>
      <c r="Y19" s="134"/>
      <c r="AF19" s="104"/>
    </row>
    <row r="20" spans="2:40" x14ac:dyDescent="0.2">
      <c r="B20" s="8" t="s">
        <v>22</v>
      </c>
      <c r="C20" s="9">
        <f>+'[28]2018-2022'!$AS$18</f>
        <v>25000</v>
      </c>
      <c r="D20" s="9"/>
      <c r="E20" s="9">
        <v>0</v>
      </c>
      <c r="F20" s="9">
        <v>0</v>
      </c>
      <c r="G20" s="9">
        <v>0</v>
      </c>
      <c r="H20" s="9">
        <v>0</v>
      </c>
      <c r="I20" s="9">
        <f>+'[33]2018-2022'!$AO$18</f>
        <v>0</v>
      </c>
      <c r="J20" s="9">
        <v>0</v>
      </c>
      <c r="K20" s="9">
        <v>0</v>
      </c>
      <c r="L20" s="9">
        <v>0</v>
      </c>
      <c r="M20" s="9">
        <f>SUM(C20:L20)</f>
        <v>25000</v>
      </c>
      <c r="N20" s="206"/>
      <c r="O20" s="11">
        <v>0</v>
      </c>
      <c r="Q20" s="11">
        <v>170525</v>
      </c>
      <c r="R20" s="11">
        <v>184025</v>
      </c>
      <c r="S20" s="11">
        <v>210025</v>
      </c>
      <c r="T20" s="11">
        <v>146852</v>
      </c>
      <c r="U20" s="11"/>
      <c r="V20" s="11">
        <f t="shared" ref="V20:V21" si="10">+M20-T20</f>
        <v>-121852</v>
      </c>
      <c r="W20" s="100"/>
      <c r="X20" s="100">
        <f>+'[37]exp line dept(2017)'!$M$20</f>
        <v>172525</v>
      </c>
      <c r="Y20" s="134"/>
      <c r="Z20" s="165">
        <f>+M20-X20</f>
        <v>-147525</v>
      </c>
      <c r="AA20" s="21">
        <f>Z20/M20</f>
        <v>-5.9009999999999998</v>
      </c>
      <c r="AB20" s="165">
        <f>+Z20</f>
        <v>-147525</v>
      </c>
      <c r="AF20" s="104"/>
    </row>
    <row r="21" spans="2:40" x14ac:dyDescent="0.2">
      <c r="B21" s="8" t="s">
        <v>13</v>
      </c>
      <c r="C21" s="9">
        <f>+'[28]2018-2022'!$AS$19</f>
        <v>14636</v>
      </c>
      <c r="D21" s="9"/>
      <c r="E21" s="9">
        <v>0</v>
      </c>
      <c r="F21" s="9">
        <v>0</v>
      </c>
      <c r="G21" s="9">
        <v>0</v>
      </c>
      <c r="H21" s="9">
        <f>+'[32]2018-2022'!$AP$20</f>
        <v>900</v>
      </c>
      <c r="I21" s="9">
        <f>+'[33]2018-2022'!$AO$19</f>
        <v>10000</v>
      </c>
      <c r="J21" s="9">
        <f>+'[34]2018-2022'!$CU$21</f>
        <v>12000</v>
      </c>
      <c r="K21" s="9">
        <f>+'[35]2018-2022'!$BJ$19</f>
        <v>15000</v>
      </c>
      <c r="L21" s="9">
        <v>0</v>
      </c>
      <c r="M21" s="9">
        <f>SUM(C21:L21)</f>
        <v>52536</v>
      </c>
      <c r="N21" s="207"/>
      <c r="O21" s="11">
        <v>0</v>
      </c>
      <c r="Q21" s="11">
        <v>208688</v>
      </c>
      <c r="R21" s="11">
        <v>178096</v>
      </c>
      <c r="S21" s="11">
        <v>153036</v>
      </c>
      <c r="T21" s="11">
        <v>148536</v>
      </c>
      <c r="U21" s="11"/>
      <c r="V21" s="11">
        <f t="shared" si="10"/>
        <v>-96000</v>
      </c>
      <c r="W21" s="100"/>
      <c r="X21" s="100">
        <f>+'[37]exp line dept(2017)'!$M$21</f>
        <v>183488</v>
      </c>
      <c r="Y21" s="134"/>
      <c r="Z21" s="165">
        <f>+M21-X21</f>
        <v>-130952</v>
      </c>
      <c r="AA21" s="21">
        <f>Z21/M21</f>
        <v>-2.4926145880919752</v>
      </c>
      <c r="AB21" s="165">
        <f>+Z21</f>
        <v>-130952</v>
      </c>
      <c r="AF21" s="104"/>
      <c r="AG21" s="142" t="e">
        <f>SUM(AG13:AG20)</f>
        <v>#REF!</v>
      </c>
    </row>
    <row r="22" spans="2:40" ht="13.5" thickBot="1" x14ac:dyDescent="0.25">
      <c r="B22" s="8"/>
      <c r="C22" s="10">
        <f>SUM(C20:C21)</f>
        <v>39636</v>
      </c>
      <c r="D22" s="10">
        <f>SUM(D20:D21)</f>
        <v>0</v>
      </c>
      <c r="E22" s="10">
        <f t="shared" ref="E22:L22" si="11">SUM(E20:E21)</f>
        <v>0</v>
      </c>
      <c r="F22" s="10">
        <f t="shared" si="11"/>
        <v>0</v>
      </c>
      <c r="G22" s="10">
        <f t="shared" si="11"/>
        <v>0</v>
      </c>
      <c r="H22" s="10">
        <f t="shared" si="11"/>
        <v>900</v>
      </c>
      <c r="I22" s="10">
        <f t="shared" si="11"/>
        <v>10000</v>
      </c>
      <c r="J22" s="10">
        <f t="shared" si="11"/>
        <v>12000</v>
      </c>
      <c r="K22" s="10">
        <f t="shared" si="11"/>
        <v>15000</v>
      </c>
      <c r="L22" s="10">
        <f t="shared" si="11"/>
        <v>0</v>
      </c>
      <c r="M22" s="10">
        <f t="shared" ref="M22:X22" si="12">SUM(M20:M21)</f>
        <v>77536</v>
      </c>
      <c r="N22" s="203">
        <f>+M22/'Proj Rev (2022) -6yr(12-12-6) '!H26</f>
        <v>6.5267514852131473E-3</v>
      </c>
      <c r="O22" s="10">
        <f t="shared" si="12"/>
        <v>0</v>
      </c>
      <c r="Q22" s="218">
        <v>379213</v>
      </c>
      <c r="R22" s="218">
        <v>362121</v>
      </c>
      <c r="S22" s="218">
        <v>363061</v>
      </c>
      <c r="T22" s="218">
        <v>295388</v>
      </c>
      <c r="U22" s="259">
        <f>R22/R68</f>
        <v>2.674749158883661E-2</v>
      </c>
      <c r="V22" s="217">
        <f t="shared" si="12"/>
        <v>-217852</v>
      </c>
      <c r="W22" s="21">
        <f>+V22/S22</f>
        <v>-0.60004241711447937</v>
      </c>
      <c r="X22" s="10">
        <f t="shared" si="12"/>
        <v>356013</v>
      </c>
      <c r="Y22" s="203">
        <f>+X22/X68</f>
        <v>2.7924407251831946E-2</v>
      </c>
      <c r="Z22" s="10">
        <f t="shared" ref="Z22" si="13">SUM(Z20:Z21)</f>
        <v>-278477</v>
      </c>
      <c r="AA22" s="21">
        <f>+Z22/X22</f>
        <v>-0.78221020018931897</v>
      </c>
      <c r="AB22" s="200">
        <v>0</v>
      </c>
      <c r="AC22" s="14">
        <f>+N22-Y22</f>
        <v>-2.1397655766618798E-2</v>
      </c>
      <c r="AF22" s="104"/>
    </row>
    <row r="23" spans="2:40" ht="7.5" customHeight="1" thickTop="1" x14ac:dyDescent="0.2"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205"/>
      <c r="Q23" s="11"/>
      <c r="R23" s="11"/>
      <c r="S23" s="11"/>
      <c r="T23" s="11"/>
      <c r="U23" s="11"/>
      <c r="V23" s="11"/>
      <c r="W23" s="100"/>
      <c r="X23" s="100"/>
      <c r="Y23" s="134"/>
    </row>
    <row r="24" spans="2:40" x14ac:dyDescent="0.2">
      <c r="B24" s="8" t="s">
        <v>225</v>
      </c>
      <c r="C24" s="9">
        <f>+'[28]2018-2022'!$AS$23</f>
        <v>20992</v>
      </c>
      <c r="D24" s="9"/>
      <c r="E24" s="9">
        <v>0</v>
      </c>
      <c r="F24" s="9">
        <v>0</v>
      </c>
      <c r="G24" s="9">
        <f>+'[31]2018-2022'!$AP$25</f>
        <v>5000</v>
      </c>
      <c r="H24" s="9">
        <f>+'[32]2018-2022'!$AP$24</f>
        <v>7800</v>
      </c>
      <c r="I24" s="9">
        <f>+'[33]2018-2022'!$AO$23</f>
        <v>10000</v>
      </c>
      <c r="J24" s="9">
        <v>0</v>
      </c>
      <c r="K24" s="9">
        <f>+'[35]2018-2022'!$BJ$24</f>
        <v>71000</v>
      </c>
      <c r="L24" s="9">
        <f>+'[36]2018-2022'!$CY$25</f>
        <v>62000</v>
      </c>
      <c r="M24" s="9">
        <f t="shared" ref="M24" si="14">SUM(C24:L24)</f>
        <v>176792</v>
      </c>
      <c r="Q24" s="11">
        <v>335080</v>
      </c>
      <c r="R24" s="11">
        <v>417192</v>
      </c>
      <c r="S24" s="11">
        <f>197192+60000</f>
        <v>257192</v>
      </c>
      <c r="T24" s="11">
        <v>257192</v>
      </c>
      <c r="U24" s="11"/>
      <c r="V24" s="11">
        <f t="shared" ref="V24:V26" si="15">+M24-T24</f>
        <v>-80400</v>
      </c>
      <c r="W24" s="100"/>
      <c r="X24" s="100">
        <f>+'[37]exp line dept(2017)'!$M$24</f>
        <v>180200</v>
      </c>
      <c r="Y24" s="134"/>
      <c r="Z24" s="165">
        <f>+M24-X24</f>
        <v>-3408</v>
      </c>
      <c r="AA24" s="21">
        <f>Z24/M24</f>
        <v>-1.927689035702973E-2</v>
      </c>
      <c r="AF24" s="104"/>
      <c r="AG24" s="11" t="e">
        <f>+AG21+AG22</f>
        <v>#REF!</v>
      </c>
      <c r="AN24" s="13">
        <f t="shared" ref="AN24" si="16">+V24</f>
        <v>-80400</v>
      </c>
    </row>
    <row r="25" spans="2:40" x14ac:dyDescent="0.2">
      <c r="B25" s="8" t="s">
        <v>73</v>
      </c>
      <c r="C25" s="9">
        <f>+'[28]2018-2022'!$AS$22</f>
        <v>33000</v>
      </c>
      <c r="D25" s="9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f>+'[35]2018-2022'!$BJ$22</f>
        <v>35000</v>
      </c>
      <c r="L25" s="9">
        <v>0</v>
      </c>
      <c r="M25" s="9">
        <f>SUM(C25:L25)</f>
        <v>68000</v>
      </c>
      <c r="Q25" s="11">
        <v>143992</v>
      </c>
      <c r="R25" s="11">
        <v>72000</v>
      </c>
      <c r="S25" s="11">
        <v>82000</v>
      </c>
      <c r="T25" s="11">
        <v>68000</v>
      </c>
      <c r="U25" s="11"/>
      <c r="V25" s="11">
        <f t="shared" si="15"/>
        <v>0</v>
      </c>
      <c r="W25" s="100"/>
      <c r="X25" s="100">
        <f>+'[37]exp line dept(2017)'!$M$25</f>
        <v>173992</v>
      </c>
      <c r="Y25" s="134"/>
      <c r="Z25" s="165">
        <f>+M25-X25</f>
        <v>-105992</v>
      </c>
      <c r="AA25" s="21">
        <f>Z25/M25</f>
        <v>-1.5587058823529412</v>
      </c>
    </row>
    <row r="26" spans="2:40" x14ac:dyDescent="0.2">
      <c r="B26" s="8" t="s">
        <v>16</v>
      </c>
      <c r="C26" s="9">
        <v>0</v>
      </c>
      <c r="D26" s="9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f>+'[35]2018-2022'!$BJ$23</f>
        <v>113800</v>
      </c>
      <c r="L26" s="9">
        <v>0</v>
      </c>
      <c r="M26" s="9">
        <f>SUM(C26:L26)</f>
        <v>113800</v>
      </c>
      <c r="Q26" s="11">
        <v>100000</v>
      </c>
      <c r="R26" s="11">
        <v>100000</v>
      </c>
      <c r="S26" s="11">
        <v>100000</v>
      </c>
      <c r="T26" s="11">
        <v>113800</v>
      </c>
      <c r="U26" s="11"/>
      <c r="V26" s="11">
        <f t="shared" si="15"/>
        <v>0</v>
      </c>
      <c r="W26" s="100"/>
      <c r="X26" s="100">
        <f>+'[37]exp line dept(2017)'!$M$26</f>
        <v>98739</v>
      </c>
      <c r="Y26" s="134"/>
      <c r="Z26" s="165">
        <f>+M26-X26</f>
        <v>15061</v>
      </c>
      <c r="AA26" s="21">
        <v>0</v>
      </c>
    </row>
    <row r="27" spans="2:40" ht="13.5" thickBot="1" x14ac:dyDescent="0.25">
      <c r="B27" s="8"/>
      <c r="C27" s="10">
        <f t="shared" ref="C27:M27" si="17">SUM(C24:C26)</f>
        <v>53992</v>
      </c>
      <c r="D27" s="10">
        <f t="shared" si="17"/>
        <v>0</v>
      </c>
      <c r="E27" s="10">
        <f t="shared" ref="E27:L27" si="18">SUM(E24:E26)</f>
        <v>0</v>
      </c>
      <c r="F27" s="10">
        <f t="shared" si="18"/>
        <v>0</v>
      </c>
      <c r="G27" s="10">
        <f t="shared" si="18"/>
        <v>5000</v>
      </c>
      <c r="H27" s="10">
        <f t="shared" si="18"/>
        <v>7800</v>
      </c>
      <c r="I27" s="10">
        <f t="shared" si="18"/>
        <v>10000</v>
      </c>
      <c r="J27" s="10">
        <f t="shared" si="18"/>
        <v>0</v>
      </c>
      <c r="K27" s="10">
        <f t="shared" si="18"/>
        <v>219800</v>
      </c>
      <c r="L27" s="10">
        <f t="shared" si="18"/>
        <v>62000</v>
      </c>
      <c r="M27" s="10">
        <f t="shared" si="17"/>
        <v>358592</v>
      </c>
      <c r="N27" s="203">
        <f>+M27/'Proj Rev (2022) -6yr(12-12-6) '!H26</f>
        <v>3.0185215494551602E-2</v>
      </c>
      <c r="O27" s="10">
        <f>SUM(O24:O26)</f>
        <v>0</v>
      </c>
      <c r="Q27" s="218">
        <v>579072</v>
      </c>
      <c r="R27" s="218">
        <v>589192</v>
      </c>
      <c r="S27" s="218">
        <v>379192</v>
      </c>
      <c r="T27" s="218">
        <v>438992</v>
      </c>
      <c r="U27" s="259">
        <f>R27/R68</f>
        <v>4.3519729770462964E-2</v>
      </c>
      <c r="V27" s="217">
        <f t="shared" ref="V27" si="19">SUM(V24:V26)</f>
        <v>-80400</v>
      </c>
      <c r="W27" s="21">
        <f>+V27/S27</f>
        <v>-0.21202978965800967</v>
      </c>
      <c r="X27" s="10">
        <f>SUM(X24:X26)</f>
        <v>452931</v>
      </c>
      <c r="Y27" s="203">
        <f>+X27/X68</f>
        <v>3.5526314210378544E-2</v>
      </c>
      <c r="Z27" s="10">
        <f>SUM(Z24:Z26)</f>
        <v>-94339</v>
      </c>
      <c r="AA27" s="21">
        <f>+Z27/X27</f>
        <v>-0.20828558875413694</v>
      </c>
      <c r="AB27" s="13"/>
      <c r="AC27" s="14">
        <f>+N27-Y27</f>
        <v>-5.3410987158269418E-3</v>
      </c>
    </row>
    <row r="28" spans="2:40" ht="5.25" customHeight="1" thickTop="1" x14ac:dyDescent="0.2"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Q28" s="11"/>
      <c r="R28" s="11"/>
      <c r="S28" s="11"/>
      <c r="T28" s="11"/>
      <c r="U28" s="11"/>
      <c r="V28" s="11"/>
      <c r="W28" s="100"/>
      <c r="X28" s="100"/>
      <c r="Y28" s="134"/>
    </row>
    <row r="29" spans="2:40" x14ac:dyDescent="0.2">
      <c r="B29" s="8" t="s">
        <v>8</v>
      </c>
      <c r="C29" s="9">
        <f>+'[28]2018-2022'!$AS$26</f>
        <v>8500</v>
      </c>
      <c r="D29" s="9"/>
      <c r="E29" s="9">
        <f>+'[29]2018-2022'!$AP$27+'[29]2018-2022'!$AP$39</f>
        <v>49000</v>
      </c>
      <c r="F29" s="9">
        <f>+'[30]2018-2022'!$AP$27</f>
        <v>34500</v>
      </c>
      <c r="G29" s="9">
        <f>+'[31]2018-2022'!$AP$28</f>
        <v>28000</v>
      </c>
      <c r="H29" s="9">
        <f>+'[32]2018-2022'!$AP$27</f>
        <v>10000</v>
      </c>
      <c r="I29" s="9">
        <f>+'[33]2018-2022'!$AO$26</f>
        <v>11000</v>
      </c>
      <c r="J29" s="9">
        <f>+'[34]2018-2022'!$CU$28</f>
        <v>59707</v>
      </c>
      <c r="K29" s="9">
        <f>+'[35]2018-2022'!$BJ$27</f>
        <v>91408</v>
      </c>
      <c r="L29" s="9">
        <f>+'[36]2018-2022'!$CY$28</f>
        <v>52500</v>
      </c>
      <c r="M29" s="9">
        <f>SUM(C29:L29)</f>
        <v>344615</v>
      </c>
      <c r="Q29" s="11">
        <v>364600</v>
      </c>
      <c r="R29" s="11">
        <v>436116.61</v>
      </c>
      <c r="S29" s="11">
        <v>453767</v>
      </c>
      <c r="T29" s="11">
        <v>434158</v>
      </c>
      <c r="U29" s="11"/>
      <c r="V29" s="11">
        <f t="shared" ref="V29:V60" si="20">+M29-T29</f>
        <v>-89543</v>
      </c>
      <c r="W29" s="100"/>
      <c r="X29" s="100">
        <f>+'[37]exp line dept(2017)'!$M$29</f>
        <v>372300</v>
      </c>
      <c r="Y29" s="134"/>
      <c r="Z29" s="165">
        <f t="shared" ref="Z29:Z60" si="21">+M29-X29</f>
        <v>-27685</v>
      </c>
      <c r="AA29" s="21">
        <f t="shared" ref="AA29:AA56" si="22">Z29/M29</f>
        <v>-8.0336027160744602E-2</v>
      </c>
      <c r="AB29" s="165">
        <f>+Z29</f>
        <v>-27685</v>
      </c>
      <c r="AC29" s="165"/>
    </row>
    <row r="30" spans="2:40" x14ac:dyDescent="0.2">
      <c r="B30" s="8" t="s">
        <v>144</v>
      </c>
      <c r="C30" s="9">
        <v>0</v>
      </c>
      <c r="D30" s="9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f>+'[36]2018-2022'!$CY$29</f>
        <v>54789.374999999985</v>
      </c>
      <c r="M30" s="9">
        <f>SUM(C30:L30)</f>
        <v>54789.374999999985</v>
      </c>
      <c r="Q30" s="11">
        <v>78825</v>
      </c>
      <c r="R30" s="11">
        <v>79620</v>
      </c>
      <c r="S30" s="11">
        <v>74650</v>
      </c>
      <c r="T30" s="11">
        <v>74610</v>
      </c>
      <c r="U30" s="11"/>
      <c r="V30" s="11">
        <f t="shared" si="20"/>
        <v>-19820.625000000015</v>
      </c>
      <c r="W30" s="100"/>
      <c r="X30" s="100">
        <f>+'[37]exp line dept(2017)'!$M$30</f>
        <v>83628</v>
      </c>
      <c r="Y30" s="134"/>
      <c r="Z30" s="165">
        <f t="shared" si="21"/>
        <v>-28838.625000000015</v>
      </c>
      <c r="AA30" s="21">
        <f t="shared" si="22"/>
        <v>-0.52635433421169753</v>
      </c>
    </row>
    <row r="31" spans="2:40" x14ac:dyDescent="0.2">
      <c r="B31" s="8" t="s">
        <v>9</v>
      </c>
      <c r="C31" s="9">
        <f>+'[28]2018-2022'!$AS$27</f>
        <v>1600</v>
      </c>
      <c r="D31" s="9"/>
      <c r="E31" s="9">
        <f>+'[29]2018-2022'!$AP$28</f>
        <v>600</v>
      </c>
      <c r="F31" s="9">
        <f>+'[30]2018-2022'!$AP$28</f>
        <v>5500</v>
      </c>
      <c r="G31" s="9">
        <f>+'[31]2018-2022'!$AP$29</f>
        <v>1000</v>
      </c>
      <c r="H31" s="9">
        <v>0</v>
      </c>
      <c r="I31" s="9">
        <f>+'[33]2018-2022'!$AO$27</f>
        <v>2000</v>
      </c>
      <c r="J31" s="9">
        <f>+'[34]2018-2022'!$CU$29</f>
        <v>7000</v>
      </c>
      <c r="K31" s="9">
        <f>+'[35]2018-2022'!$BJ$28</f>
        <v>5000</v>
      </c>
      <c r="L31" s="9">
        <f>+'[36]2018-2022'!$CY$30</f>
        <v>11500</v>
      </c>
      <c r="M31" s="9">
        <f t="shared" ref="M31:M60" si="23">SUM(C31:L31)</f>
        <v>34200</v>
      </c>
      <c r="Q31" s="11">
        <v>44650</v>
      </c>
      <c r="R31" s="11">
        <v>39060</v>
      </c>
      <c r="S31" s="11">
        <v>39550</v>
      </c>
      <c r="T31" s="11">
        <v>50350</v>
      </c>
      <c r="U31" s="11"/>
      <c r="V31" s="11">
        <f t="shared" si="20"/>
        <v>-16150</v>
      </c>
      <c r="W31" s="100"/>
      <c r="X31" s="100">
        <f>+'[37]exp line dept(2017)'!$M$31</f>
        <v>32100</v>
      </c>
      <c r="Y31" s="134"/>
      <c r="Z31" s="165">
        <f t="shared" si="21"/>
        <v>2100</v>
      </c>
      <c r="AA31" s="21">
        <f t="shared" si="22"/>
        <v>6.1403508771929821E-2</v>
      </c>
      <c r="AB31" s="165">
        <f t="shared" ref="AB31" si="24">+Z31</f>
        <v>2100</v>
      </c>
      <c r="AC31" s="165"/>
      <c r="AN31" s="13">
        <f t="shared" ref="AN31" si="25">+V31</f>
        <v>-16150</v>
      </c>
    </row>
    <row r="32" spans="2:40" x14ac:dyDescent="0.2">
      <c r="B32" s="8" t="s">
        <v>257</v>
      </c>
      <c r="C32" s="9">
        <v>0</v>
      </c>
      <c r="D32" s="9"/>
      <c r="E32" s="9">
        <f>+'[29]2018-2022'!$AP$29</f>
        <v>500</v>
      </c>
      <c r="F32" s="9">
        <f>+'[30]2018-2022'!$AP$29</f>
        <v>3000</v>
      </c>
      <c r="G32" s="9">
        <f>+'[31]2018-2022'!$AP$30</f>
        <v>3000</v>
      </c>
      <c r="H32" s="9">
        <f>+'[32]2018-2022'!$AP$29</f>
        <v>8000</v>
      </c>
      <c r="I32" s="9">
        <f>+'[33]2018-2022'!$AO$28</f>
        <v>300</v>
      </c>
      <c r="J32" s="9">
        <f>+'[34]2018-2022'!$CU$30</f>
        <v>41000</v>
      </c>
      <c r="K32" s="9">
        <v>0</v>
      </c>
      <c r="L32" s="9">
        <f>+'[36]2018-2022'!$CY$31</f>
        <v>4000</v>
      </c>
      <c r="M32" s="9">
        <f t="shared" si="23"/>
        <v>59800</v>
      </c>
      <c r="Q32" s="11">
        <v>111400</v>
      </c>
      <c r="R32" s="11">
        <v>109600</v>
      </c>
      <c r="S32" s="11">
        <v>114500</v>
      </c>
      <c r="T32" s="11">
        <v>103400</v>
      </c>
      <c r="U32" s="11"/>
      <c r="V32" s="11">
        <f t="shared" si="20"/>
        <v>-43600</v>
      </c>
      <c r="W32" s="100"/>
      <c r="X32" s="100">
        <f>+'[37]exp line dept(2017)'!$M$32</f>
        <v>100900</v>
      </c>
      <c r="Y32" s="134"/>
      <c r="Z32" s="165">
        <f t="shared" si="21"/>
        <v>-41100</v>
      </c>
      <c r="AA32" s="21">
        <f t="shared" si="22"/>
        <v>-0.68729096989966554</v>
      </c>
      <c r="AB32" s="165">
        <v>0</v>
      </c>
      <c r="AC32" s="165"/>
    </row>
    <row r="33" spans="2:40" x14ac:dyDescent="0.2">
      <c r="B33" s="8" t="s">
        <v>71</v>
      </c>
      <c r="C33" s="9">
        <v>0</v>
      </c>
      <c r="D33" s="9"/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f t="shared" si="23"/>
        <v>0</v>
      </c>
      <c r="O33" s="11">
        <v>0</v>
      </c>
      <c r="Q33" s="11">
        <v>0</v>
      </c>
      <c r="R33" s="11">
        <v>0</v>
      </c>
      <c r="S33" s="11">
        <v>0</v>
      </c>
      <c r="T33" s="11">
        <v>0</v>
      </c>
      <c r="U33" s="11"/>
      <c r="V33" s="11">
        <f t="shared" si="20"/>
        <v>0</v>
      </c>
      <c r="W33" s="100"/>
      <c r="X33" s="100">
        <f>+'[37]exp line dept(2017)'!$M$33</f>
        <v>30600</v>
      </c>
      <c r="Y33" s="134"/>
      <c r="Z33" s="165">
        <f t="shared" si="21"/>
        <v>-30600</v>
      </c>
      <c r="AA33" s="21" t="e">
        <f t="shared" si="22"/>
        <v>#DIV/0!</v>
      </c>
    </row>
    <row r="34" spans="2:40" x14ac:dyDescent="0.2">
      <c r="B34" s="8" t="s">
        <v>209</v>
      </c>
      <c r="C34" s="9">
        <v>0</v>
      </c>
      <c r="D34" s="9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f>+'[34]2018-2022'!$CU$39</f>
        <v>2000</v>
      </c>
      <c r="K34" s="9">
        <v>0</v>
      </c>
      <c r="L34" s="9">
        <v>0</v>
      </c>
      <c r="M34" s="9">
        <f t="shared" si="23"/>
        <v>2000</v>
      </c>
      <c r="Q34" s="11">
        <v>2000</v>
      </c>
      <c r="R34" s="11">
        <v>2000</v>
      </c>
      <c r="S34" s="11">
        <v>2000</v>
      </c>
      <c r="T34" s="11">
        <v>2000</v>
      </c>
      <c r="U34" s="11"/>
      <c r="V34" s="11">
        <f t="shared" si="20"/>
        <v>0</v>
      </c>
      <c r="W34" s="100"/>
      <c r="X34" s="100">
        <v>0</v>
      </c>
      <c r="Y34" s="134"/>
      <c r="Z34" s="165">
        <f t="shared" si="21"/>
        <v>2000</v>
      </c>
      <c r="AA34" s="21">
        <f t="shared" si="22"/>
        <v>1</v>
      </c>
    </row>
    <row r="35" spans="2:40" x14ac:dyDescent="0.2">
      <c r="B35" s="8" t="s">
        <v>10</v>
      </c>
      <c r="C35" s="9">
        <v>0</v>
      </c>
      <c r="D35" s="9"/>
      <c r="E35" s="9">
        <v>0</v>
      </c>
      <c r="F35" s="9">
        <f>+'[30]2018-2022'!$AP$38</f>
        <v>500</v>
      </c>
      <c r="G35" s="9">
        <v>0</v>
      </c>
      <c r="H35" s="9">
        <v>0</v>
      </c>
      <c r="I35" s="9">
        <f>+'[33]2018-2022'!$AO$30</f>
        <v>205416</v>
      </c>
      <c r="J35" s="9">
        <f>+'[34]2018-2022'!$CU$35</f>
        <v>2000</v>
      </c>
      <c r="K35" s="9">
        <v>0</v>
      </c>
      <c r="L35" s="9">
        <v>0</v>
      </c>
      <c r="M35" s="9">
        <f t="shared" si="23"/>
        <v>207916</v>
      </c>
      <c r="Q35" s="11">
        <v>170179</v>
      </c>
      <c r="R35" s="11">
        <v>398782</v>
      </c>
      <c r="S35" s="11">
        <v>305282</v>
      </c>
      <c r="T35" s="11">
        <v>324932</v>
      </c>
      <c r="U35" s="11"/>
      <c r="V35" s="11">
        <f t="shared" si="20"/>
        <v>-117016</v>
      </c>
      <c r="W35" s="100"/>
      <c r="X35" s="100">
        <f>+'[37]exp line dept(2017)'!$M$34</f>
        <v>356000</v>
      </c>
      <c r="Y35" s="134"/>
      <c r="Z35" s="165">
        <f t="shared" si="21"/>
        <v>-148084</v>
      </c>
      <c r="AA35" s="21">
        <f t="shared" si="22"/>
        <v>-0.71222993901383247</v>
      </c>
      <c r="AB35" s="165">
        <v>0</v>
      </c>
      <c r="AC35" s="165"/>
      <c r="AN35" s="13">
        <f>+V35</f>
        <v>-117016</v>
      </c>
    </row>
    <row r="36" spans="2:40" x14ac:dyDescent="0.2">
      <c r="B36" s="8" t="s">
        <v>11</v>
      </c>
      <c r="C36" s="9">
        <v>0</v>
      </c>
      <c r="D36" s="9"/>
      <c r="E36" s="9">
        <v>0</v>
      </c>
      <c r="F36" s="9">
        <v>0</v>
      </c>
      <c r="G36" s="9">
        <v>0</v>
      </c>
      <c r="H36" s="9">
        <v>0</v>
      </c>
      <c r="I36" s="9">
        <f>+'[33]2018-2022'!$AF$31</f>
        <v>10000</v>
      </c>
      <c r="J36" s="9">
        <v>0</v>
      </c>
      <c r="K36" s="9">
        <v>0</v>
      </c>
      <c r="L36" s="9">
        <v>0</v>
      </c>
      <c r="M36" s="9">
        <f t="shared" si="23"/>
        <v>10000</v>
      </c>
      <c r="Q36" s="11">
        <v>11500</v>
      </c>
      <c r="R36" s="11">
        <v>1000</v>
      </c>
      <c r="S36" s="11">
        <v>1000</v>
      </c>
      <c r="T36" s="11">
        <v>1000</v>
      </c>
      <c r="U36" s="11"/>
      <c r="V36" s="11">
        <f t="shared" si="20"/>
        <v>9000</v>
      </c>
      <c r="W36" s="100"/>
      <c r="X36" s="100">
        <f>+'[37]exp line dept(2017)'!$M$35</f>
        <v>10000</v>
      </c>
      <c r="Y36" s="134"/>
      <c r="Z36" s="165">
        <f t="shared" si="21"/>
        <v>0</v>
      </c>
      <c r="AA36" s="21">
        <f t="shared" si="22"/>
        <v>0</v>
      </c>
      <c r="AB36" s="165">
        <f t="shared" ref="AB36:AB37" si="26">+Z36</f>
        <v>0</v>
      </c>
      <c r="AC36" s="165"/>
    </row>
    <row r="37" spans="2:40" x14ac:dyDescent="0.2">
      <c r="B37" s="8" t="s">
        <v>12</v>
      </c>
      <c r="C37" s="9">
        <v>0</v>
      </c>
      <c r="D37" s="9"/>
      <c r="E37" s="9">
        <v>0</v>
      </c>
      <c r="F37" s="9">
        <v>0</v>
      </c>
      <c r="G37" s="9">
        <f>+'[31]2018-2022'!$AP$32</f>
        <v>600</v>
      </c>
      <c r="H37" s="9">
        <v>0</v>
      </c>
      <c r="I37" s="9">
        <v>0</v>
      </c>
      <c r="J37" s="9">
        <v>0</v>
      </c>
      <c r="K37" s="9">
        <v>0</v>
      </c>
      <c r="L37" s="9">
        <f>+'[36]2018-2022'!$CY$32</f>
        <v>3500</v>
      </c>
      <c r="M37" s="9">
        <f t="shared" si="23"/>
        <v>4100</v>
      </c>
      <c r="Q37" s="11">
        <v>6400</v>
      </c>
      <c r="R37" s="11">
        <v>5900</v>
      </c>
      <c r="S37" s="11">
        <v>5900</v>
      </c>
      <c r="T37" s="11">
        <v>5400</v>
      </c>
      <c r="U37" s="11"/>
      <c r="V37" s="11">
        <f t="shared" si="20"/>
        <v>-1300</v>
      </c>
      <c r="W37" s="100"/>
      <c r="X37" s="100">
        <f>+'[37]exp line dept(2017)'!$M$36</f>
        <v>5000</v>
      </c>
      <c r="Y37" s="134"/>
      <c r="Z37" s="165">
        <f t="shared" si="21"/>
        <v>-900</v>
      </c>
      <c r="AA37" s="21">
        <f t="shared" si="22"/>
        <v>-0.21951219512195122</v>
      </c>
      <c r="AB37" s="165">
        <f t="shared" si="26"/>
        <v>-900</v>
      </c>
      <c r="AC37" s="165"/>
    </row>
    <row r="38" spans="2:40" x14ac:dyDescent="0.2">
      <c r="B38" s="8" t="s">
        <v>34</v>
      </c>
      <c r="C38" s="9">
        <v>0</v>
      </c>
      <c r="D38" s="9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f>+'[34]2018-2022'!$CU$43</f>
        <v>50000</v>
      </c>
      <c r="K38" s="9">
        <v>0</v>
      </c>
      <c r="L38" s="9">
        <v>0</v>
      </c>
      <c r="M38" s="9">
        <f t="shared" si="23"/>
        <v>50000</v>
      </c>
      <c r="Q38" s="11">
        <v>60000</v>
      </c>
      <c r="R38" s="11">
        <v>40000</v>
      </c>
      <c r="S38" s="11">
        <v>40000</v>
      </c>
      <c r="T38" s="11">
        <v>30000</v>
      </c>
      <c r="U38" s="11"/>
      <c r="V38" s="11">
        <f t="shared" si="20"/>
        <v>20000</v>
      </c>
      <c r="W38" s="100"/>
      <c r="X38" s="100">
        <f>+'[37]exp line dept(2017)'!$M$37</f>
        <v>100000</v>
      </c>
      <c r="Y38" s="134"/>
      <c r="Z38" s="165">
        <f t="shared" si="21"/>
        <v>-50000</v>
      </c>
      <c r="AA38" s="21">
        <f t="shared" si="22"/>
        <v>-1</v>
      </c>
      <c r="AN38" s="13">
        <f t="shared" ref="AN38:AN42" si="27">+V38</f>
        <v>20000</v>
      </c>
    </row>
    <row r="39" spans="2:40" x14ac:dyDescent="0.2">
      <c r="B39" s="8" t="s">
        <v>14</v>
      </c>
      <c r="C39" s="9">
        <v>0</v>
      </c>
      <c r="D39" s="9"/>
      <c r="E39" s="9">
        <f>+'[29]2018-2022'!$AP$30</f>
        <v>75000</v>
      </c>
      <c r="F39" s="9">
        <f>+'[30]2018-2022'!$AP$31</f>
        <v>60000</v>
      </c>
      <c r="G39" s="9">
        <f>+'[31]2018-2022'!$AP$33</f>
        <v>50000</v>
      </c>
      <c r="H39" s="9">
        <f>+'[32]2018-2022'!$AP$32</f>
        <v>80000</v>
      </c>
      <c r="I39" s="9">
        <v>0</v>
      </c>
      <c r="J39" s="9">
        <v>0</v>
      </c>
      <c r="K39" s="9">
        <f>+'[35]2018-2022'!$BJ$30</f>
        <v>380000</v>
      </c>
      <c r="L39" s="9">
        <v>0</v>
      </c>
      <c r="M39" s="9">
        <f t="shared" si="23"/>
        <v>645000</v>
      </c>
      <c r="O39" s="11">
        <v>0</v>
      </c>
      <c r="Q39" s="11">
        <v>670000</v>
      </c>
      <c r="R39" s="11">
        <v>670000</v>
      </c>
      <c r="S39" s="11">
        <v>704560</v>
      </c>
      <c r="T39" s="11">
        <v>680000</v>
      </c>
      <c r="U39" s="11"/>
      <c r="V39" s="11">
        <f t="shared" si="20"/>
        <v>-35000</v>
      </c>
      <c r="W39" s="100"/>
      <c r="X39" s="100">
        <f>+'[37]exp line dept(2017)'!$M$38</f>
        <v>819267.7</v>
      </c>
      <c r="Y39" s="134"/>
      <c r="Z39" s="165">
        <f t="shared" si="21"/>
        <v>-174267.69999999995</v>
      </c>
      <c r="AA39" s="21">
        <f t="shared" si="22"/>
        <v>-0.27018248062015499</v>
      </c>
      <c r="AN39" s="13">
        <f t="shared" si="27"/>
        <v>-35000</v>
      </c>
    </row>
    <row r="40" spans="2:40" x14ac:dyDescent="0.2">
      <c r="B40" s="8" t="s">
        <v>15</v>
      </c>
      <c r="C40" s="9">
        <v>0</v>
      </c>
      <c r="D40" s="9"/>
      <c r="E40" s="9">
        <f>+'[29]2018-2022'!$AP$31</f>
        <v>8000</v>
      </c>
      <c r="F40" s="9">
        <f>+'[30]2018-2022'!$AP$32</f>
        <v>10000</v>
      </c>
      <c r="G40" s="9">
        <f>+'[31]2018-2022'!$AP$34</f>
        <v>3000</v>
      </c>
      <c r="H40" s="9">
        <f>+'[32]2018-2022'!$AP$33</f>
        <v>3500</v>
      </c>
      <c r="I40" s="9">
        <v>0</v>
      </c>
      <c r="J40" s="9">
        <v>0</v>
      </c>
      <c r="K40" s="9">
        <f>+'[35]2018-2022'!$BJ$31</f>
        <v>77700</v>
      </c>
      <c r="L40" s="9">
        <v>0</v>
      </c>
      <c r="M40" s="9">
        <f t="shared" si="23"/>
        <v>102200</v>
      </c>
      <c r="Q40" s="11">
        <v>82000</v>
      </c>
      <c r="R40" s="11">
        <v>98200</v>
      </c>
      <c r="S40" s="11">
        <v>97700</v>
      </c>
      <c r="T40" s="11">
        <v>94500</v>
      </c>
      <c r="U40" s="11"/>
      <c r="V40" s="11">
        <f t="shared" si="20"/>
        <v>7700</v>
      </c>
      <c r="W40" s="100"/>
      <c r="X40" s="100">
        <f>+'[37]exp line dept(2017)'!$M$39</f>
        <v>105722</v>
      </c>
      <c r="Y40" s="134"/>
      <c r="Z40" s="165">
        <f t="shared" si="21"/>
        <v>-3522</v>
      </c>
      <c r="AA40" s="21">
        <f t="shared" si="22"/>
        <v>-3.4461839530332682E-2</v>
      </c>
      <c r="AN40" s="13">
        <f t="shared" si="27"/>
        <v>7700</v>
      </c>
    </row>
    <row r="41" spans="2:40" x14ac:dyDescent="0.2">
      <c r="B41" s="8" t="s">
        <v>197</v>
      </c>
      <c r="C41" s="9">
        <v>0</v>
      </c>
      <c r="D41" s="9"/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f t="shared" si="23"/>
        <v>0</v>
      </c>
      <c r="Q41" s="11">
        <v>30000</v>
      </c>
      <c r="R41" s="11">
        <v>0</v>
      </c>
      <c r="S41" s="11">
        <v>0</v>
      </c>
      <c r="T41" s="11">
        <v>140085</v>
      </c>
      <c r="U41" s="11"/>
      <c r="V41" s="11">
        <f t="shared" si="20"/>
        <v>-140085</v>
      </c>
      <c r="W41" s="100"/>
      <c r="X41" s="100"/>
      <c r="Y41" s="134"/>
      <c r="Z41" s="165">
        <f t="shared" si="21"/>
        <v>0</v>
      </c>
      <c r="AA41" s="21" t="e">
        <f t="shared" si="22"/>
        <v>#DIV/0!</v>
      </c>
      <c r="AB41" s="165"/>
      <c r="AN41" s="13">
        <f>+M41*0.25</f>
        <v>0</v>
      </c>
    </row>
    <row r="42" spans="2:40" x14ac:dyDescent="0.2">
      <c r="B42" s="8" t="s">
        <v>23</v>
      </c>
      <c r="C42" s="9">
        <v>0</v>
      </c>
      <c r="D42" s="9"/>
      <c r="E42" s="9">
        <v>0</v>
      </c>
      <c r="F42" s="9">
        <f>+'[30]2018-2022'!$AP$33</f>
        <v>2000</v>
      </c>
      <c r="G42" s="9">
        <f>+'[31]2018-2022'!$AP$35</f>
        <v>1500</v>
      </c>
      <c r="H42" s="9">
        <f>+'[32]2018-2022'!$AP$34</f>
        <v>250</v>
      </c>
      <c r="I42" s="9">
        <v>0</v>
      </c>
      <c r="J42" s="9">
        <v>0</v>
      </c>
      <c r="K42" s="9">
        <v>0</v>
      </c>
      <c r="L42" s="9">
        <f>+'[36]2018-2022'!$CY$34</f>
        <v>12000</v>
      </c>
      <c r="M42" s="9">
        <f t="shared" si="23"/>
        <v>15750</v>
      </c>
      <c r="Q42" s="11">
        <v>16400</v>
      </c>
      <c r="R42" s="11">
        <v>18000</v>
      </c>
      <c r="S42" s="11">
        <v>22500</v>
      </c>
      <c r="T42" s="11">
        <v>22750</v>
      </c>
      <c r="U42" s="11"/>
      <c r="V42" s="11">
        <f t="shared" si="20"/>
        <v>-7000</v>
      </c>
      <c r="W42" s="100"/>
      <c r="X42" s="100">
        <f>+'[37]exp line dept(2017)'!$M$40</f>
        <v>23500</v>
      </c>
      <c r="Y42" s="134"/>
      <c r="Z42" s="165">
        <f t="shared" si="21"/>
        <v>-7750</v>
      </c>
      <c r="AA42" s="21">
        <f t="shared" si="22"/>
        <v>-0.49206349206349204</v>
      </c>
      <c r="AN42" s="13">
        <f t="shared" si="27"/>
        <v>-7000</v>
      </c>
    </row>
    <row r="43" spans="2:40" x14ac:dyDescent="0.2">
      <c r="B43" s="8" t="s">
        <v>24</v>
      </c>
      <c r="C43" s="9">
        <v>0</v>
      </c>
      <c r="D43" s="9"/>
      <c r="E43" s="9">
        <f>+'[29]2018-2022'!$AP$33</f>
        <v>1000</v>
      </c>
      <c r="F43" s="9">
        <v>0</v>
      </c>
      <c r="G43" s="9">
        <v>0</v>
      </c>
      <c r="H43" s="9">
        <v>0</v>
      </c>
      <c r="I43" s="9">
        <v>0</v>
      </c>
      <c r="J43" s="9">
        <f>+'[34]2018-2022'!$CU$42</f>
        <v>5000</v>
      </c>
      <c r="K43" s="9">
        <v>0</v>
      </c>
      <c r="L43" s="9">
        <v>0</v>
      </c>
      <c r="M43" s="9">
        <f t="shared" si="23"/>
        <v>6000</v>
      </c>
      <c r="Q43" s="11">
        <v>9000</v>
      </c>
      <c r="R43" s="11">
        <v>10000</v>
      </c>
      <c r="S43" s="11">
        <v>10000</v>
      </c>
      <c r="T43" s="11">
        <v>9000</v>
      </c>
      <c r="U43" s="11"/>
      <c r="V43" s="11">
        <f t="shared" si="20"/>
        <v>-3000</v>
      </c>
      <c r="W43" s="100"/>
      <c r="X43" s="100">
        <f>+'[37]exp line dept(2017)'!$M$41</f>
        <v>5000</v>
      </c>
      <c r="Y43" s="134"/>
      <c r="Z43" s="165">
        <f t="shared" si="21"/>
        <v>1000</v>
      </c>
      <c r="AA43" s="21">
        <f t="shared" si="22"/>
        <v>0.16666666666666666</v>
      </c>
      <c r="AB43" s="165">
        <f t="shared" ref="AB43" si="28">+Z43</f>
        <v>1000</v>
      </c>
      <c r="AC43" s="165"/>
    </row>
    <row r="44" spans="2:40" x14ac:dyDescent="0.2">
      <c r="B44" s="8" t="s">
        <v>227</v>
      </c>
      <c r="C44" s="9">
        <v>0</v>
      </c>
      <c r="D44" s="9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f>+'[34]2018-2022'!$CU$33</f>
        <v>44000</v>
      </c>
      <c r="K44" s="9">
        <v>0</v>
      </c>
      <c r="L44" s="9">
        <v>0</v>
      </c>
      <c r="M44" s="9">
        <f t="shared" si="23"/>
        <v>44000</v>
      </c>
      <c r="Q44" s="11">
        <v>63953</v>
      </c>
      <c r="R44" s="11">
        <v>65277.667076923077</v>
      </c>
      <c r="S44" s="11">
        <v>57436</v>
      </c>
      <c r="T44" s="11">
        <v>56495</v>
      </c>
      <c r="U44" s="11"/>
      <c r="V44" s="11">
        <f t="shared" si="20"/>
        <v>-12495</v>
      </c>
      <c r="W44" s="100"/>
      <c r="X44" s="100">
        <f>+'[37]exp line dept(2017)'!$M$42</f>
        <v>72162.59</v>
      </c>
      <c r="Y44" s="134"/>
      <c r="Z44" s="165">
        <f t="shared" si="21"/>
        <v>-28162.589999999997</v>
      </c>
      <c r="AA44" s="21">
        <f t="shared" si="22"/>
        <v>-0.64005886363636355</v>
      </c>
      <c r="AB44" s="104" t="s">
        <v>221</v>
      </c>
    </row>
    <row r="45" spans="2:40" x14ac:dyDescent="0.2">
      <c r="B45" s="8" t="s">
        <v>258</v>
      </c>
      <c r="C45" s="9"/>
      <c r="D45" s="9"/>
      <c r="E45" s="9"/>
      <c r="F45" s="9"/>
      <c r="G45" s="9"/>
      <c r="H45" s="9"/>
      <c r="I45" s="9"/>
      <c r="J45" s="9"/>
      <c r="K45" s="9"/>
      <c r="L45" s="9">
        <f>+'[36]2018-2022'!$CY$41</f>
        <v>28500</v>
      </c>
      <c r="M45" s="9">
        <f t="shared" si="23"/>
        <v>28500</v>
      </c>
      <c r="Q45" s="11"/>
      <c r="R45" s="11"/>
      <c r="S45" s="11"/>
      <c r="T45" s="11"/>
      <c r="U45" s="11"/>
      <c r="V45" s="11">
        <f t="shared" si="20"/>
        <v>28500</v>
      </c>
      <c r="W45" s="100"/>
      <c r="X45" s="100"/>
      <c r="Y45" s="134"/>
      <c r="Z45" s="165"/>
      <c r="AA45" s="21"/>
      <c r="AB45" s="104"/>
    </row>
    <row r="46" spans="2:40" x14ac:dyDescent="0.2">
      <c r="B46" s="8" t="s">
        <v>69</v>
      </c>
      <c r="C46" s="9">
        <v>0</v>
      </c>
      <c r="D46" s="9"/>
      <c r="E46" s="9">
        <f>+'[29]2018-2022'!$AP$38</f>
        <v>20000</v>
      </c>
      <c r="F46" s="9">
        <f>+'[30]2018-2022'!$AP$39</f>
        <v>15000</v>
      </c>
      <c r="G46" s="9">
        <f>+'[31]2018-2022'!$AP$41</f>
        <v>22000</v>
      </c>
      <c r="H46" s="9">
        <f>+'[32]2018-2022'!$AP$40</f>
        <v>16000</v>
      </c>
      <c r="I46" s="9">
        <v>0</v>
      </c>
      <c r="J46" s="9">
        <f>+'[34]2018-2022'!$CU$41</f>
        <v>1000</v>
      </c>
      <c r="K46" s="9">
        <f>+'[35]2018-2022'!$BJ$38+'[35]2018-2022'!$BJ$39</f>
        <v>110754</v>
      </c>
      <c r="L46" s="9">
        <v>0</v>
      </c>
      <c r="M46" s="9">
        <f t="shared" si="23"/>
        <v>184754</v>
      </c>
      <c r="Q46" s="11">
        <v>311250</v>
      </c>
      <c r="R46" s="11">
        <v>436957.08</v>
      </c>
      <c r="S46" s="11">
        <v>316000</v>
      </c>
      <c r="T46" s="11">
        <v>297000</v>
      </c>
      <c r="U46" s="11"/>
      <c r="V46" s="11">
        <f t="shared" si="20"/>
        <v>-112246</v>
      </c>
      <c r="W46" s="100"/>
      <c r="X46" s="100">
        <f>+'[37]exp line dept(2017)'!$M$43</f>
        <v>331250</v>
      </c>
      <c r="Y46" s="134"/>
      <c r="Z46" s="165">
        <f t="shared" si="21"/>
        <v>-146496</v>
      </c>
      <c r="AA46" s="21">
        <f t="shared" si="22"/>
        <v>-0.79292464574515298</v>
      </c>
      <c r="AN46" s="13">
        <f>+M46*0.25</f>
        <v>46188.5</v>
      </c>
    </row>
    <row r="47" spans="2:40" x14ac:dyDescent="0.2">
      <c r="B47" s="8" t="s">
        <v>88</v>
      </c>
      <c r="C47" s="9">
        <v>0</v>
      </c>
      <c r="D47" s="9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f t="shared" si="23"/>
        <v>0</v>
      </c>
      <c r="O47" s="11">
        <f>-M47</f>
        <v>0</v>
      </c>
      <c r="Q47" s="11">
        <v>48660</v>
      </c>
      <c r="R47" s="11">
        <v>23480</v>
      </c>
      <c r="S47" s="11">
        <v>61271</v>
      </c>
      <c r="T47" s="11">
        <v>0</v>
      </c>
      <c r="U47" s="11"/>
      <c r="V47" s="11">
        <f t="shared" si="20"/>
        <v>0</v>
      </c>
      <c r="W47" s="100"/>
      <c r="X47" s="100">
        <f>+'[37]exp line dept(2017)'!$M$44</f>
        <v>0</v>
      </c>
      <c r="Y47" s="134"/>
      <c r="Z47" s="165">
        <f t="shared" si="21"/>
        <v>0</v>
      </c>
      <c r="AA47" s="21" t="e">
        <f t="shared" si="22"/>
        <v>#DIV/0!</v>
      </c>
      <c r="AB47" s="165">
        <v>0</v>
      </c>
      <c r="AN47" s="13">
        <f>+M47</f>
        <v>0</v>
      </c>
    </row>
    <row r="48" spans="2:40" x14ac:dyDescent="0.2">
      <c r="B48" s="8" t="s">
        <v>89</v>
      </c>
      <c r="C48" s="9">
        <v>0</v>
      </c>
      <c r="D48" s="9"/>
      <c r="E48" s="9">
        <v>0</v>
      </c>
      <c r="F48" s="9">
        <f>+'[30]2018-2022'!$AP$41</f>
        <v>95264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f t="shared" si="23"/>
        <v>95264</v>
      </c>
      <c r="Q48" s="11">
        <v>94000</v>
      </c>
      <c r="R48" s="11">
        <v>94000</v>
      </c>
      <c r="S48" s="11">
        <v>95264</v>
      </c>
      <c r="T48" s="11">
        <v>95264</v>
      </c>
      <c r="U48" s="11"/>
      <c r="V48" s="11">
        <f t="shared" si="20"/>
        <v>0</v>
      </c>
      <c r="W48" s="100"/>
      <c r="X48" s="100">
        <f>+'[37]exp line dept(2017)'!$M$45</f>
        <v>104864</v>
      </c>
      <c r="Y48" s="134"/>
      <c r="Z48" s="165">
        <f t="shared" si="21"/>
        <v>-9600</v>
      </c>
      <c r="AA48" s="21">
        <f t="shared" si="22"/>
        <v>-0.10077258985555929</v>
      </c>
    </row>
    <row r="49" spans="2:40" x14ac:dyDescent="0.2">
      <c r="B49" s="8" t="s">
        <v>27</v>
      </c>
      <c r="C49" s="9">
        <f>+'[28]2018-2022'!$AS$35</f>
        <v>15876</v>
      </c>
      <c r="D49" s="9"/>
      <c r="E49" s="9">
        <f>+'[29]2018-2022'!$AP$36</f>
        <v>800</v>
      </c>
      <c r="F49" s="9">
        <v>0</v>
      </c>
      <c r="G49" s="9">
        <v>0</v>
      </c>
      <c r="H49" s="9">
        <v>0</v>
      </c>
      <c r="I49" s="9">
        <f>+'[33]2018-2022'!$AO$33</f>
        <v>38650</v>
      </c>
      <c r="J49" s="9">
        <f>+'[34]2018-2022'!$CU$38</f>
        <v>3300</v>
      </c>
      <c r="K49" s="9">
        <f>+'[35]2018-2022'!$BJ$36</f>
        <v>3000</v>
      </c>
      <c r="L49" s="9">
        <f>+'[36]2018-2022'!$CY$36</f>
        <v>2500</v>
      </c>
      <c r="M49" s="9">
        <f t="shared" si="23"/>
        <v>64126</v>
      </c>
      <c r="Q49" s="11">
        <v>56506</v>
      </c>
      <c r="R49" s="11">
        <v>49376</v>
      </c>
      <c r="S49" s="11">
        <v>127771</v>
      </c>
      <c r="T49" s="11">
        <v>37376</v>
      </c>
      <c r="U49" s="11"/>
      <c r="V49" s="11">
        <f t="shared" si="20"/>
        <v>26750</v>
      </c>
      <c r="W49" s="100"/>
      <c r="X49" s="100">
        <f>+'[37]exp line dept(2017)'!$M$46</f>
        <v>48031</v>
      </c>
      <c r="Y49" s="134"/>
      <c r="Z49" s="165">
        <f t="shared" si="21"/>
        <v>16095</v>
      </c>
      <c r="AA49" s="21">
        <f t="shared" si="22"/>
        <v>0.25099023796899855</v>
      </c>
      <c r="AB49" s="165">
        <v>0</v>
      </c>
      <c r="AL49" s="13">
        <f>+V49+V41</f>
        <v>-113335</v>
      </c>
    </row>
    <row r="50" spans="2:40" x14ac:dyDescent="0.2">
      <c r="B50" s="8" t="s">
        <v>25</v>
      </c>
      <c r="C50" s="9">
        <v>0</v>
      </c>
      <c r="D50" s="9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f>+'[34]2018-2022'!$CU$36</f>
        <v>500</v>
      </c>
      <c r="K50" s="9">
        <v>0</v>
      </c>
      <c r="L50" s="9">
        <f>+'[36]2018-2022'!$CY$37</f>
        <v>73052.499999999985</v>
      </c>
      <c r="M50" s="9">
        <f t="shared" si="23"/>
        <v>73552.499999999985</v>
      </c>
      <c r="Q50" s="11">
        <v>107850</v>
      </c>
      <c r="R50" s="11">
        <v>109410</v>
      </c>
      <c r="S50" s="11">
        <v>99520</v>
      </c>
      <c r="T50" s="11">
        <v>99980</v>
      </c>
      <c r="U50" s="11"/>
      <c r="V50" s="11">
        <f t="shared" si="20"/>
        <v>-26427.500000000015</v>
      </c>
      <c r="W50" s="100"/>
      <c r="X50" s="100">
        <f>+'[37]exp line dept(2017)'!$M$47</f>
        <v>115254</v>
      </c>
      <c r="Y50" s="134"/>
      <c r="Z50" s="165">
        <f t="shared" si="21"/>
        <v>-41701.500000000015</v>
      </c>
      <c r="AA50" s="21">
        <f t="shared" si="22"/>
        <v>-0.56696237381462256</v>
      </c>
    </row>
    <row r="51" spans="2:40" x14ac:dyDescent="0.2">
      <c r="B51" s="8" t="s">
        <v>70</v>
      </c>
      <c r="C51" s="9">
        <v>0</v>
      </c>
      <c r="D51" s="9"/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f>+'[34]2018-2022'!$CU$37</f>
        <v>100</v>
      </c>
      <c r="K51" s="9">
        <v>0</v>
      </c>
      <c r="L51" s="9">
        <f>+'[36]2018-2022'!$CY$38</f>
        <v>25000</v>
      </c>
      <c r="M51" s="9">
        <f t="shared" si="23"/>
        <v>25100</v>
      </c>
      <c r="Q51" s="11">
        <v>15750</v>
      </c>
      <c r="R51" s="11">
        <v>15750</v>
      </c>
      <c r="S51" s="11">
        <v>20750</v>
      </c>
      <c r="T51" s="11">
        <v>25750</v>
      </c>
      <c r="U51" s="11"/>
      <c r="V51" s="11">
        <f t="shared" si="20"/>
        <v>-650</v>
      </c>
      <c r="W51" s="100"/>
      <c r="X51" s="100">
        <f>+'[37]exp line dept(2017)'!$M$48</f>
        <v>20750</v>
      </c>
      <c r="Y51" s="134"/>
      <c r="Z51" s="165">
        <f t="shared" si="21"/>
        <v>4350</v>
      </c>
      <c r="AA51" s="21">
        <f t="shared" si="22"/>
        <v>0.17330677290836655</v>
      </c>
      <c r="AN51" s="13">
        <f t="shared" ref="AN51:AN52" si="29">+V51</f>
        <v>-650</v>
      </c>
    </row>
    <row r="52" spans="2:40" x14ac:dyDescent="0.2">
      <c r="B52" s="8" t="s">
        <v>21</v>
      </c>
      <c r="C52" s="9">
        <v>0</v>
      </c>
      <c r="D52" s="9"/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f>+'[36]2018-2022'!$CY$39</f>
        <v>75000</v>
      </c>
      <c r="M52" s="9">
        <f t="shared" si="23"/>
        <v>75000</v>
      </c>
      <c r="Q52" s="11">
        <v>65000</v>
      </c>
      <c r="R52" s="11">
        <v>65000</v>
      </c>
      <c r="S52" s="11">
        <v>70000</v>
      </c>
      <c r="T52" s="11">
        <v>75000</v>
      </c>
      <c r="U52" s="11"/>
      <c r="V52" s="11">
        <f t="shared" si="20"/>
        <v>0</v>
      </c>
      <c r="W52" s="100"/>
      <c r="X52" s="100">
        <f>+'[37]exp line dept(2017)'!$M$49</f>
        <v>65000</v>
      </c>
      <c r="Y52" s="134"/>
      <c r="Z52" s="165">
        <f t="shared" si="21"/>
        <v>10000</v>
      </c>
      <c r="AA52" s="21">
        <f t="shared" si="22"/>
        <v>0.13333333333333333</v>
      </c>
      <c r="AN52" s="13">
        <f t="shared" si="29"/>
        <v>0</v>
      </c>
    </row>
    <row r="53" spans="2:40" x14ac:dyDescent="0.2">
      <c r="B53" s="8" t="s">
        <v>26</v>
      </c>
      <c r="C53" s="9">
        <v>0</v>
      </c>
      <c r="D53" s="9"/>
      <c r="E53" s="9">
        <v>0</v>
      </c>
      <c r="F53" s="9">
        <v>0</v>
      </c>
      <c r="G53" s="9">
        <f>+'[31]2018-2022'!$AP$44</f>
        <v>4000</v>
      </c>
      <c r="H53" s="9">
        <f>+'[32]2018-2022'!$AP$43</f>
        <v>5000</v>
      </c>
      <c r="I53" s="9">
        <v>0</v>
      </c>
      <c r="J53" s="9">
        <f>+'[34]2018-2022'!$CU$34</f>
        <v>10000</v>
      </c>
      <c r="K53" s="9">
        <f>+'[35]2018-2022'!$BJ$37</f>
        <v>24000</v>
      </c>
      <c r="L53" s="9">
        <f>+'[36]2018-2022'!$CY$33</f>
        <v>0</v>
      </c>
      <c r="M53" s="9">
        <f t="shared" si="23"/>
        <v>43000</v>
      </c>
      <c r="Q53" s="11">
        <v>106000</v>
      </c>
      <c r="R53" s="11">
        <v>127000</v>
      </c>
      <c r="S53" s="11">
        <v>148000</v>
      </c>
      <c r="T53" s="11">
        <v>96000</v>
      </c>
      <c r="U53" s="11"/>
      <c r="V53" s="11">
        <f t="shared" si="20"/>
        <v>-53000</v>
      </c>
      <c r="W53" s="100"/>
      <c r="X53" s="100">
        <f>+'[37]exp line dept(2017)'!$M$50</f>
        <v>98000</v>
      </c>
      <c r="Y53" s="134"/>
      <c r="Z53" s="165">
        <f t="shared" si="21"/>
        <v>-55000</v>
      </c>
      <c r="AA53" s="21">
        <f t="shared" si="22"/>
        <v>-1.2790697674418605</v>
      </c>
      <c r="AB53" s="165">
        <v>0</v>
      </c>
      <c r="AN53" s="13">
        <f>+M53*0.5</f>
        <v>21500</v>
      </c>
    </row>
    <row r="54" spans="2:40" x14ac:dyDescent="0.2">
      <c r="B54" s="8" t="s">
        <v>64</v>
      </c>
      <c r="C54" s="9">
        <f>+'[28]2018-2022'!$AS$34</f>
        <v>30000</v>
      </c>
      <c r="D54" s="9"/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f>+'[34]2018-2022'!$CU$44</f>
        <v>10000</v>
      </c>
      <c r="K54" s="9">
        <f>+'[35]2018-2022'!$BJ$35</f>
        <v>15000</v>
      </c>
      <c r="L54" s="9">
        <f>+'[36]2018-2022'!$CY$40</f>
        <v>10000</v>
      </c>
      <c r="M54" s="9">
        <f t="shared" si="23"/>
        <v>65000</v>
      </c>
      <c r="Q54" s="11">
        <v>89000</v>
      </c>
      <c r="R54" s="11">
        <v>102000</v>
      </c>
      <c r="S54" s="11">
        <v>102000</v>
      </c>
      <c r="T54" s="11">
        <v>85000</v>
      </c>
      <c r="U54" s="11"/>
      <c r="V54" s="11">
        <f t="shared" si="20"/>
        <v>-20000</v>
      </c>
      <c r="W54" s="100"/>
      <c r="X54" s="100">
        <f>+'[37]exp line dept(2017)'!$M$51</f>
        <v>86000</v>
      </c>
      <c r="Y54" s="134"/>
      <c r="Z54" s="165">
        <f t="shared" si="21"/>
        <v>-21000</v>
      </c>
      <c r="AA54" s="21">
        <f t="shared" si="22"/>
        <v>-0.32307692307692309</v>
      </c>
      <c r="AB54" s="165">
        <v>0</v>
      </c>
      <c r="AN54" s="13">
        <f>+V54</f>
        <v>-20000</v>
      </c>
    </row>
    <row r="55" spans="2:40" x14ac:dyDescent="0.2">
      <c r="B55" s="8" t="s">
        <v>35</v>
      </c>
      <c r="C55" s="9">
        <f>+'[28]2018-2022'!$AS$37</f>
        <v>20000</v>
      </c>
      <c r="D55" s="9"/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f t="shared" si="23"/>
        <v>20000</v>
      </c>
      <c r="Q55" s="11">
        <v>30000</v>
      </c>
      <c r="R55" s="11">
        <v>45000</v>
      </c>
      <c r="S55" s="11">
        <v>45000</v>
      </c>
      <c r="T55" s="11">
        <v>45000</v>
      </c>
      <c r="U55" s="11"/>
      <c r="V55" s="11">
        <f t="shared" si="20"/>
        <v>-25000</v>
      </c>
      <c r="W55" s="100"/>
      <c r="X55" s="100">
        <f>+'[37]exp line dept(2017)'!$M$52</f>
        <v>30000</v>
      </c>
      <c r="Y55" s="134"/>
      <c r="Z55" s="165">
        <f t="shared" si="21"/>
        <v>-10000</v>
      </c>
      <c r="AA55" s="21">
        <f t="shared" si="22"/>
        <v>-0.5</v>
      </c>
    </row>
    <row r="56" spans="2:40" x14ac:dyDescent="0.2">
      <c r="B56" s="8" t="s">
        <v>65</v>
      </c>
      <c r="C56" s="9">
        <f>+'[28]2018-2022'!$AS$38</f>
        <v>20000</v>
      </c>
      <c r="D56" s="9"/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f t="shared" si="23"/>
        <v>20000</v>
      </c>
      <c r="Q56" s="11">
        <v>25000</v>
      </c>
      <c r="R56" s="11">
        <v>26000</v>
      </c>
      <c r="S56" s="11">
        <v>26000</v>
      </c>
      <c r="T56" s="11">
        <v>26000</v>
      </c>
      <c r="U56" s="11"/>
      <c r="V56" s="11">
        <f t="shared" si="20"/>
        <v>-6000</v>
      </c>
      <c r="W56" s="100"/>
      <c r="X56" s="100">
        <f>+'[37]exp line dept(2017)'!$M$53</f>
        <v>25000</v>
      </c>
      <c r="Y56" s="134"/>
      <c r="Z56" s="165">
        <f t="shared" si="21"/>
        <v>-5000</v>
      </c>
      <c r="AA56" s="21">
        <f t="shared" si="22"/>
        <v>-0.25</v>
      </c>
    </row>
    <row r="57" spans="2:40" x14ac:dyDescent="0.2">
      <c r="B57" s="8" t="s">
        <v>66</v>
      </c>
      <c r="C57" s="9">
        <v>0</v>
      </c>
      <c r="D57" s="9"/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f t="shared" si="23"/>
        <v>0</v>
      </c>
      <c r="Q57" s="11">
        <v>0</v>
      </c>
      <c r="R57" s="11">
        <v>0</v>
      </c>
      <c r="S57" s="11">
        <v>0</v>
      </c>
      <c r="T57" s="11">
        <v>0</v>
      </c>
      <c r="U57" s="11"/>
      <c r="V57" s="11">
        <f t="shared" si="20"/>
        <v>0</v>
      </c>
      <c r="W57" s="100"/>
      <c r="X57" s="100">
        <v>0</v>
      </c>
      <c r="Y57" s="134"/>
      <c r="Z57" s="165">
        <f t="shared" si="21"/>
        <v>0</v>
      </c>
      <c r="AA57" s="21">
        <v>0</v>
      </c>
    </row>
    <row r="58" spans="2:40" x14ac:dyDescent="0.2">
      <c r="B58" s="8" t="s">
        <v>146</v>
      </c>
      <c r="C58" s="9">
        <v>0</v>
      </c>
      <c r="D58" s="9"/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f t="shared" si="23"/>
        <v>0</v>
      </c>
      <c r="Q58" s="11">
        <v>0</v>
      </c>
      <c r="R58" s="11">
        <v>0</v>
      </c>
      <c r="S58" s="11">
        <v>0</v>
      </c>
      <c r="T58" s="11">
        <v>0</v>
      </c>
      <c r="U58" s="11"/>
      <c r="V58" s="11">
        <f t="shared" si="20"/>
        <v>0</v>
      </c>
      <c r="W58" s="100"/>
      <c r="X58" s="100">
        <v>0</v>
      </c>
      <c r="Y58" s="134"/>
      <c r="Z58" s="165">
        <f t="shared" si="21"/>
        <v>0</v>
      </c>
      <c r="AA58" s="21">
        <v>0</v>
      </c>
    </row>
    <row r="59" spans="2:40" x14ac:dyDescent="0.2">
      <c r="B59" s="8" t="s">
        <v>196</v>
      </c>
      <c r="C59" s="9">
        <v>0</v>
      </c>
      <c r="D59" s="9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f t="shared" si="23"/>
        <v>0</v>
      </c>
      <c r="Q59" s="11">
        <v>25000</v>
      </c>
      <c r="R59" s="11">
        <v>0</v>
      </c>
      <c r="S59" s="11">
        <v>0</v>
      </c>
      <c r="T59" s="11">
        <v>0</v>
      </c>
      <c r="U59" s="11"/>
      <c r="V59" s="11">
        <f t="shared" si="20"/>
        <v>0</v>
      </c>
      <c r="W59" s="100"/>
      <c r="X59" s="100">
        <v>0</v>
      </c>
      <c r="Y59" s="134"/>
      <c r="Z59" s="165">
        <f t="shared" si="21"/>
        <v>0</v>
      </c>
      <c r="AA59" s="21" t="e">
        <f>Z59/M59</f>
        <v>#DIV/0!</v>
      </c>
    </row>
    <row r="60" spans="2:40" x14ac:dyDescent="0.2">
      <c r="B60" s="8" t="s">
        <v>63</v>
      </c>
      <c r="C60" s="9">
        <f>+'[28]2018-2022'!$AS$39</f>
        <v>31500</v>
      </c>
      <c r="D60" s="9"/>
      <c r="E60" s="9">
        <f>+'[29]2018-2022'!$AP$42</f>
        <v>1500</v>
      </c>
      <c r="F60" s="9">
        <f>+'[30]2018-2022'!$AP$43</f>
        <v>500</v>
      </c>
      <c r="G60" s="9">
        <v>0</v>
      </c>
      <c r="H60" s="9">
        <f>+'[32]2018-2022'!$AP$46</f>
        <v>4000</v>
      </c>
      <c r="I60" s="9">
        <f>+'[33]2018-2022'!$AO$35</f>
        <v>20000</v>
      </c>
      <c r="J60" s="9">
        <f>+'[34]2018-2022'!$CU$45</f>
        <v>13500</v>
      </c>
      <c r="K60" s="9">
        <f>+'[35]2018-2022'!$BJ$40</f>
        <v>1500</v>
      </c>
      <c r="L60" s="9">
        <v>0</v>
      </c>
      <c r="M60" s="9">
        <f t="shared" si="23"/>
        <v>72500</v>
      </c>
      <c r="Q60" s="11">
        <v>66150</v>
      </c>
      <c r="R60" s="11">
        <v>85150</v>
      </c>
      <c r="S60" s="11">
        <v>106800</v>
      </c>
      <c r="T60" s="11">
        <v>93500</v>
      </c>
      <c r="U60" s="11"/>
      <c r="V60" s="11">
        <f t="shared" si="20"/>
        <v>-21000</v>
      </c>
      <c r="W60" s="100"/>
      <c r="X60" s="100">
        <f>+'[37]exp line dept(2017)'!$M$56</f>
        <v>74650</v>
      </c>
      <c r="Y60" s="134"/>
      <c r="Z60" s="165">
        <f t="shared" si="21"/>
        <v>-2150</v>
      </c>
      <c r="AA60" s="21">
        <f>Z60/M60</f>
        <v>-2.9655172413793104E-2</v>
      </c>
    </row>
    <row r="61" spans="2:40" ht="13.5" thickBot="1" x14ac:dyDescent="0.25">
      <c r="B61" s="8"/>
      <c r="C61" s="10">
        <f t="shared" ref="C61:X61" si="30">SUM(C29:C60)</f>
        <v>127476</v>
      </c>
      <c r="D61" s="10">
        <f t="shared" si="30"/>
        <v>0</v>
      </c>
      <c r="E61" s="10">
        <f t="shared" ref="E61:L61" si="31">SUM(E29:E60)</f>
        <v>156400</v>
      </c>
      <c r="F61" s="10">
        <f t="shared" si="31"/>
        <v>226264</v>
      </c>
      <c r="G61" s="10">
        <f t="shared" si="31"/>
        <v>113100</v>
      </c>
      <c r="H61" s="10">
        <f t="shared" si="31"/>
        <v>126750</v>
      </c>
      <c r="I61" s="10">
        <f t="shared" si="31"/>
        <v>287366</v>
      </c>
      <c r="J61" s="10">
        <f t="shared" si="31"/>
        <v>249107</v>
      </c>
      <c r="K61" s="10">
        <f t="shared" si="31"/>
        <v>708362</v>
      </c>
      <c r="L61" s="10">
        <f t="shared" si="31"/>
        <v>352341.875</v>
      </c>
      <c r="M61" s="10">
        <f t="shared" si="30"/>
        <v>2347166.875</v>
      </c>
      <c r="N61" s="256">
        <f>+M61/'Proj Rev (2022) -6yr(12-12-6) '!H26</f>
        <v>0.19757757541592746</v>
      </c>
      <c r="O61" s="10">
        <f t="shared" si="30"/>
        <v>0</v>
      </c>
      <c r="Q61" s="218">
        <v>2761073</v>
      </c>
      <c r="R61" s="218">
        <v>3152679.3570769229</v>
      </c>
      <c r="S61" s="218">
        <v>3147221</v>
      </c>
      <c r="T61" s="218">
        <v>3004550</v>
      </c>
      <c r="U61" s="259">
        <f>R61/R68</f>
        <v>0.2328676453056128</v>
      </c>
      <c r="V61" s="10">
        <f t="shared" si="30"/>
        <v>-657383.125</v>
      </c>
      <c r="W61" s="21">
        <f>+V61/S61</f>
        <v>-0.20887733177936979</v>
      </c>
      <c r="X61" s="10">
        <f t="shared" si="30"/>
        <v>3114979.29</v>
      </c>
      <c r="Y61" s="203">
        <f>+X61/X68</f>
        <v>0.24432801688416528</v>
      </c>
      <c r="Z61" s="10">
        <f t="shared" ref="Z61" si="32">SUM(Z29:Z60)</f>
        <v>-796312.41499999992</v>
      </c>
      <c r="AA61" s="21">
        <f>+Z61/X61</f>
        <v>-0.25563971406050662</v>
      </c>
      <c r="AC61" s="14">
        <f>+N61-Y61</f>
        <v>-4.6750441468237813E-2</v>
      </c>
    </row>
    <row r="62" spans="2:40" ht="5.25" customHeight="1" thickTop="1" x14ac:dyDescent="0.2">
      <c r="B62" s="8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Q62" s="11"/>
      <c r="R62" s="11"/>
      <c r="S62" s="11"/>
      <c r="T62" s="11"/>
      <c r="U62" s="11"/>
      <c r="V62" s="11"/>
      <c r="W62" s="100"/>
      <c r="X62" s="100"/>
      <c r="Y62" s="134"/>
    </row>
    <row r="63" spans="2:40" x14ac:dyDescent="0.2">
      <c r="B63" s="8" t="s">
        <v>75</v>
      </c>
      <c r="C63" s="9">
        <v>0</v>
      </c>
      <c r="D63" s="9"/>
      <c r="E63" s="9">
        <v>0</v>
      </c>
      <c r="F63" s="9">
        <v>0</v>
      </c>
      <c r="G63" s="9">
        <f>+'[31]2018-2022'!$AP$52</f>
        <v>6000</v>
      </c>
      <c r="H63" s="9">
        <v>0</v>
      </c>
      <c r="I63" s="9">
        <v>0</v>
      </c>
      <c r="J63" s="9">
        <f>+'[34]2018-2022'!$CU$49</f>
        <v>500</v>
      </c>
      <c r="K63" s="9">
        <v>0</v>
      </c>
      <c r="L63" s="9">
        <v>0</v>
      </c>
      <c r="M63" s="9">
        <f t="shared" ref="M63:M66" si="33">SUM(C63:L63)</f>
        <v>6500</v>
      </c>
      <c r="Q63" s="11">
        <v>58600</v>
      </c>
      <c r="R63" s="11">
        <v>112600</v>
      </c>
      <c r="S63" s="11">
        <v>121600</v>
      </c>
      <c r="T63" s="11">
        <v>63000</v>
      </c>
      <c r="U63" s="11"/>
      <c r="V63" s="11">
        <f t="shared" ref="V63:V66" si="34">+M63-T63</f>
        <v>-56500</v>
      </c>
      <c r="W63" s="100"/>
      <c r="X63" s="100">
        <f>+'[37]exp line dept(2017)'!$M$59</f>
        <v>61600</v>
      </c>
      <c r="Y63" s="134"/>
      <c r="Z63" s="165">
        <f>+M63-X63</f>
        <v>-55100</v>
      </c>
      <c r="AA63" s="21">
        <f>Z63/M63</f>
        <v>-8.476923076923077</v>
      </c>
      <c r="AB63" s="165">
        <v>0</v>
      </c>
      <c r="AN63" s="2">
        <v>50000</v>
      </c>
    </row>
    <row r="64" spans="2:40" x14ac:dyDescent="0.2">
      <c r="B64" s="8" t="s">
        <v>83</v>
      </c>
      <c r="C64" s="9">
        <v>0</v>
      </c>
      <c r="D64" s="9"/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f t="shared" si="33"/>
        <v>0</v>
      </c>
      <c r="Q64" s="11">
        <v>50000</v>
      </c>
      <c r="R64" s="11">
        <v>50000</v>
      </c>
      <c r="S64" s="11">
        <v>50000</v>
      </c>
      <c r="T64" s="11">
        <v>0</v>
      </c>
      <c r="U64" s="11"/>
      <c r="V64" s="11">
        <f t="shared" si="34"/>
        <v>0</v>
      </c>
      <c r="W64" s="100"/>
      <c r="X64" s="100">
        <f>+'[37]exp line dept(2017)'!$M$60</f>
        <v>46000</v>
      </c>
      <c r="Y64" s="134"/>
      <c r="Z64" s="165">
        <f>+M64-X64</f>
        <v>-46000</v>
      </c>
      <c r="AA64" s="21" t="e">
        <f>Z64/M64</f>
        <v>#DIV/0!</v>
      </c>
      <c r="AB64" s="165">
        <v>0</v>
      </c>
      <c r="AN64" s="2">
        <v>25000</v>
      </c>
    </row>
    <row r="65" spans="2:40" x14ac:dyDescent="0.2">
      <c r="B65" s="8" t="s">
        <v>281</v>
      </c>
      <c r="C65" s="9">
        <f>+'[28]2018-2022'!$AS$46</f>
        <v>5000</v>
      </c>
      <c r="D65" s="9"/>
      <c r="E65" s="9">
        <v>0</v>
      </c>
      <c r="F65" s="9">
        <v>0</v>
      </c>
      <c r="G65" s="9">
        <v>0</v>
      </c>
      <c r="H65" s="9">
        <v>0</v>
      </c>
      <c r="I65" s="9">
        <f>+'[33]2018-2022'!$AO$38</f>
        <v>20000</v>
      </c>
      <c r="J65" s="9">
        <v>0</v>
      </c>
      <c r="K65" s="9">
        <v>0</v>
      </c>
      <c r="L65" s="9">
        <v>0</v>
      </c>
      <c r="M65" s="9">
        <f t="shared" si="33"/>
        <v>25000</v>
      </c>
      <c r="O65" s="11">
        <v>0</v>
      </c>
      <c r="Q65" s="11">
        <v>125000</v>
      </c>
      <c r="R65" s="11">
        <v>0</v>
      </c>
      <c r="S65" s="11">
        <v>0</v>
      </c>
      <c r="T65" s="11">
        <v>0</v>
      </c>
      <c r="U65" s="11"/>
      <c r="V65" s="11">
        <f t="shared" si="34"/>
        <v>25000</v>
      </c>
      <c r="W65" s="100"/>
      <c r="X65" s="100">
        <f>+'[37]exp line dept(2017)'!$M$61</f>
        <v>100000</v>
      </c>
      <c r="Y65" s="134"/>
      <c r="Z65" s="165">
        <f>+M65-X65</f>
        <v>-75000</v>
      </c>
      <c r="AA65" s="21">
        <f>Z65/M65</f>
        <v>-3</v>
      </c>
      <c r="AB65" s="165">
        <v>0</v>
      </c>
      <c r="AN65" s="13">
        <f>+V65</f>
        <v>25000</v>
      </c>
    </row>
    <row r="66" spans="2:40" x14ac:dyDescent="0.2">
      <c r="B66" s="8" t="s">
        <v>18</v>
      </c>
      <c r="C66" s="9">
        <v>0</v>
      </c>
      <c r="D66" s="9"/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f>+'[35]2018-2022'!$BJ$46</f>
        <v>10000</v>
      </c>
      <c r="L66" s="9">
        <v>0</v>
      </c>
      <c r="M66" s="9">
        <f t="shared" si="33"/>
        <v>10000</v>
      </c>
      <c r="Q66" s="11">
        <v>11500</v>
      </c>
      <c r="R66" s="11">
        <v>9500</v>
      </c>
      <c r="S66" s="11">
        <v>3500</v>
      </c>
      <c r="T66" s="11">
        <v>25000</v>
      </c>
      <c r="U66" s="11"/>
      <c r="V66" s="11">
        <f t="shared" si="34"/>
        <v>-15000</v>
      </c>
      <c r="W66" s="100"/>
      <c r="X66" s="100">
        <f>+'[37]exp line dept(2017)'!$M$62</f>
        <v>11200</v>
      </c>
      <c r="Y66" s="134"/>
      <c r="Z66" s="165">
        <f>+M66-X66</f>
        <v>-1200</v>
      </c>
      <c r="AA66" s="21">
        <f>Z66/M66</f>
        <v>-0.12</v>
      </c>
      <c r="AB66" s="165">
        <v>0</v>
      </c>
      <c r="AN66" s="13">
        <v>50000</v>
      </c>
    </row>
    <row r="67" spans="2:40" ht="13.5" thickBot="1" x14ac:dyDescent="0.25">
      <c r="C67" s="10">
        <f t="shared" ref="C67:X67" si="35">SUM(C63:C66)</f>
        <v>5000</v>
      </c>
      <c r="D67" s="10">
        <f t="shared" si="35"/>
        <v>0</v>
      </c>
      <c r="E67" s="10">
        <f t="shared" ref="E67:L67" si="36">SUM(E63:E66)</f>
        <v>0</v>
      </c>
      <c r="F67" s="10">
        <f t="shared" si="36"/>
        <v>0</v>
      </c>
      <c r="G67" s="10">
        <f t="shared" si="36"/>
        <v>6000</v>
      </c>
      <c r="H67" s="10">
        <f t="shared" si="36"/>
        <v>0</v>
      </c>
      <c r="I67" s="10">
        <f t="shared" si="36"/>
        <v>20000</v>
      </c>
      <c r="J67" s="10">
        <f t="shared" si="36"/>
        <v>500</v>
      </c>
      <c r="K67" s="10">
        <f t="shared" si="36"/>
        <v>10000</v>
      </c>
      <c r="L67" s="10">
        <f t="shared" si="36"/>
        <v>0</v>
      </c>
      <c r="M67" s="10">
        <f t="shared" si="35"/>
        <v>41500</v>
      </c>
      <c r="N67" s="257">
        <f>+M67/'Proj Rev (2022) -6yr(12-12-6) '!H26</f>
        <v>3.4933474339190261E-3</v>
      </c>
      <c r="O67" s="10">
        <f t="shared" si="35"/>
        <v>0</v>
      </c>
      <c r="Q67" s="218">
        <v>245100</v>
      </c>
      <c r="R67" s="218">
        <v>172100</v>
      </c>
      <c r="S67" s="218">
        <v>175100</v>
      </c>
      <c r="T67" s="218">
        <v>88000</v>
      </c>
      <c r="U67" s="259">
        <f>R67/R68</f>
        <v>1.2711892716630023E-2</v>
      </c>
      <c r="V67" s="10">
        <f t="shared" si="35"/>
        <v>-46500</v>
      </c>
      <c r="W67" s="21">
        <f>+V67/S67</f>
        <v>-0.26556253569388921</v>
      </c>
      <c r="X67" s="10">
        <f t="shared" si="35"/>
        <v>218800</v>
      </c>
      <c r="Y67" s="204">
        <f>+X67/X68</f>
        <v>1.7161902252729056E-2</v>
      </c>
      <c r="Z67" s="10">
        <f t="shared" ref="Z67" si="37">SUM(Z63:Z66)</f>
        <v>-177300</v>
      </c>
      <c r="AA67" s="21">
        <f>+Z67/X67</f>
        <v>-0.81032906764168189</v>
      </c>
      <c r="AB67" s="165">
        <f>SUM(AB20:AB66)</f>
        <v>-303962</v>
      </c>
      <c r="AC67" s="14">
        <f>+N67-Y67</f>
        <v>-1.366855481881003E-2</v>
      </c>
      <c r="AL67" s="13">
        <f>+V67+V61+V27+V22</f>
        <v>-1002135.125</v>
      </c>
    </row>
    <row r="68" spans="2:40" ht="24" customHeight="1" thickTop="1" thickBot="1" x14ac:dyDescent="0.25">
      <c r="C68" s="216">
        <f t="shared" ref="C68:M68" si="38">SUM(C18+C22+C27+C61+C67)</f>
        <v>500115.81879364443</v>
      </c>
      <c r="D68" s="17">
        <f t="shared" si="38"/>
        <v>0</v>
      </c>
      <c r="E68" s="216">
        <f t="shared" ref="E68:L68" si="39">SUM(E18+E22+E27+E61+E67)</f>
        <v>1620223.3770377224</v>
      </c>
      <c r="F68" s="216">
        <f t="shared" si="39"/>
        <v>1328265.4069136833</v>
      </c>
      <c r="G68" s="216">
        <f t="shared" si="39"/>
        <v>812753.51401405327</v>
      </c>
      <c r="H68" s="216">
        <f t="shared" si="39"/>
        <v>781473.98429723957</v>
      </c>
      <c r="I68" s="216">
        <f t="shared" si="39"/>
        <v>640291.24359519593</v>
      </c>
      <c r="J68" s="216">
        <f t="shared" si="39"/>
        <v>3064279.1684920806</v>
      </c>
      <c r="K68" s="216">
        <f t="shared" si="39"/>
        <v>1869124.9124595802</v>
      </c>
      <c r="L68" s="216">
        <f t="shared" si="39"/>
        <v>1263195.9802299817</v>
      </c>
      <c r="M68" s="17">
        <f t="shared" si="38"/>
        <v>11879723.405833181</v>
      </c>
      <c r="N68" s="203">
        <f>SUM(N18:N67)</f>
        <v>1.0000000307333767</v>
      </c>
      <c r="O68" s="17">
        <f>SUM(O18+O22+O27+O61+O67)</f>
        <v>0</v>
      </c>
      <c r="Q68" s="17">
        <f t="shared" ref="Q68:V68" si="40">SUM(Q18+Q22+Q27+Q61+Q67)</f>
        <v>12975134.163204027</v>
      </c>
      <c r="R68" s="17">
        <v>13538503.182524061</v>
      </c>
      <c r="S68" s="17">
        <v>13538502.736585274</v>
      </c>
      <c r="T68" s="17">
        <v>13359948.277201828</v>
      </c>
      <c r="U68" s="17"/>
      <c r="V68" s="17">
        <f t="shared" si="40"/>
        <v>-1480224.871368648</v>
      </c>
      <c r="W68" s="21">
        <f>+V68/T68</f>
        <v>-0.11079570374494545</v>
      </c>
      <c r="X68" s="17">
        <f>SUM(X18+X22+X27+X61+X67)</f>
        <v>12749169.455571674</v>
      </c>
      <c r="Y68" s="203">
        <f>SUM(Y18:Y67)</f>
        <v>1</v>
      </c>
      <c r="Z68" s="17">
        <f>SUM(Z18+Z22+Z27+Z61+Z67)</f>
        <v>-897946.04973849317</v>
      </c>
      <c r="AN68" s="13">
        <f>SUM(AN8:AN67)</f>
        <v>-326898.11</v>
      </c>
    </row>
    <row r="69" spans="2:40" ht="14.25" thickTop="1" thickBot="1" x14ac:dyDescent="0.25">
      <c r="C69" s="18">
        <f>SUM(C68/M68)</f>
        <v>4.2098271290397012E-2</v>
      </c>
      <c r="D69" s="18">
        <f>SUM(D68/M68)</f>
        <v>0</v>
      </c>
      <c r="E69" s="18">
        <f>SUM(E68/M68)</f>
        <v>0.13638561452046605</v>
      </c>
      <c r="F69" s="18">
        <f>SUM(F68/M68)</f>
        <v>0.11180945561926792</v>
      </c>
      <c r="G69" s="18">
        <f>SUM(G68/M68)</f>
        <v>6.8415188321217568E-2</v>
      </c>
      <c r="H69" s="18">
        <f>SUM(H68/M68)</f>
        <v>6.5782169971526458E-2</v>
      </c>
      <c r="I69" s="18">
        <f>SUM(I68/M68)</f>
        <v>5.3897824193516172E-2</v>
      </c>
      <c r="J69" s="18">
        <f>SUM(J68/M68)</f>
        <v>0.25794196243554446</v>
      </c>
      <c r="K69" s="18">
        <f>SUM(K68/M68)</f>
        <v>0.15733741002267801</v>
      </c>
      <c r="L69" s="18">
        <f>SUM(L68/M68)</f>
        <v>0.10633210362538636</v>
      </c>
      <c r="M69" s="18">
        <f>SUM(M68/M68)</f>
        <v>1</v>
      </c>
      <c r="N69" s="205">
        <f>SUM(C69:L69)</f>
        <v>1</v>
      </c>
      <c r="O69" s="11">
        <f>+O4+O68</f>
        <v>0</v>
      </c>
      <c r="Q69" s="100"/>
      <c r="R69" s="100">
        <v>1</v>
      </c>
      <c r="S69" s="100"/>
      <c r="T69" s="100"/>
      <c r="U69" s="100"/>
      <c r="V69" s="100"/>
      <c r="W69" s="100"/>
      <c r="X69" s="100">
        <f>+X68-'[37]exp line dept(2017)'!$M$64</f>
        <v>0</v>
      </c>
      <c r="Y69" s="205"/>
      <c r="AN69" s="13">
        <f>+M68-AN68</f>
        <v>12206621.51583318</v>
      </c>
    </row>
    <row r="70" spans="2:40" ht="13.5" thickTop="1" x14ac:dyDescent="0.2">
      <c r="C70" s="11">
        <f>+C68-'[28]2018-2022'!$AS$49</f>
        <v>0</v>
      </c>
      <c r="D70" s="11"/>
      <c r="E70" s="11">
        <f>+E68-'[29]2018-2022'!$AP$50</f>
        <v>0</v>
      </c>
      <c r="F70" s="11">
        <f>+F68-'[30]2018-2022'!$AP$54</f>
        <v>0</v>
      </c>
      <c r="G70" s="11">
        <f>+G68-'[31]2018-2022'!$AP$55</f>
        <v>0</v>
      </c>
      <c r="H70" s="13">
        <f>+H68-'[32]2018-2022'!$AP$54</f>
        <v>0</v>
      </c>
      <c r="I70" s="13">
        <f>+I68-'[33]2018-2022'!$AO$42</f>
        <v>0</v>
      </c>
      <c r="J70" s="13">
        <f>+J68-'[34]2018-2022'!$CU$53</f>
        <v>199999.99999999953</v>
      </c>
      <c r="K70" s="13">
        <f>+K68-'[35]2018-2022'!$BJ$48</f>
        <v>0</v>
      </c>
      <c r="L70" s="11">
        <f>+L68-'[36]2018-2022'!$CY$49</f>
        <v>0</v>
      </c>
      <c r="M70" s="11">
        <f>+M68-'Adjustment 2022'!M55</f>
        <v>3.1586159020662308E-3</v>
      </c>
      <c r="N70" s="205">
        <f>+N68-N69</f>
        <v>3.0733376732428042E-8</v>
      </c>
      <c r="V70" s="21">
        <f>+V69/Q68</f>
        <v>0</v>
      </c>
      <c r="Y70" s="134"/>
    </row>
    <row r="71" spans="2:40" x14ac:dyDescent="0.2">
      <c r="C71" s="11"/>
      <c r="D71" s="11"/>
      <c r="E71" s="11"/>
      <c r="F71" s="11"/>
      <c r="G71" s="11"/>
      <c r="H71" s="13"/>
      <c r="I71" s="13"/>
      <c r="J71" s="13"/>
      <c r="K71" s="13"/>
      <c r="L71" s="11"/>
      <c r="M71" s="11">
        <f>+M68-'Proj Rev (2022) -6yr(12-12-6) '!H26</f>
        <v>0.36510400474071503</v>
      </c>
      <c r="Q71" s="13"/>
      <c r="R71" s="13"/>
      <c r="S71" s="13"/>
      <c r="T71" s="13"/>
      <c r="U71" s="13"/>
      <c r="Y71" s="134"/>
    </row>
    <row r="72" spans="2:40" x14ac:dyDescent="0.2">
      <c r="B72" s="2" t="s">
        <v>160</v>
      </c>
      <c r="C72" s="11">
        <f>480102+50000</f>
        <v>530102</v>
      </c>
      <c r="D72" s="11">
        <v>50000</v>
      </c>
      <c r="E72" s="11">
        <v>1808729</v>
      </c>
      <c r="F72" s="11">
        <v>1499004</v>
      </c>
      <c r="G72" s="11">
        <v>797924</v>
      </c>
      <c r="H72" s="11">
        <v>729456</v>
      </c>
      <c r="I72" s="11">
        <v>913096</v>
      </c>
      <c r="J72" s="11">
        <v>3046337</v>
      </c>
      <c r="K72" s="11">
        <v>2142835</v>
      </c>
      <c r="L72" s="11">
        <v>954603</v>
      </c>
      <c r="M72" s="11">
        <f>SUM(C72:L72)</f>
        <v>12472086</v>
      </c>
      <c r="Y72" s="134"/>
    </row>
    <row r="73" spans="2:40" x14ac:dyDescent="0.2">
      <c r="B73" s="2" t="s">
        <v>195</v>
      </c>
      <c r="C73" s="11">
        <f>+'[40]exp line dept(2017)'!$C$64+'[40]exp line dept(2017)'!$D$64</f>
        <v>671752.47956355242</v>
      </c>
      <c r="D73" s="11">
        <v>140791.16869861732</v>
      </c>
      <c r="E73" s="11">
        <f>+'[40]exp line dept(2017)'!$E$64</f>
        <v>1611004.1723584614</v>
      </c>
      <c r="F73" s="11">
        <f>+'[40]exp line dept(2017)'!$F$64</f>
        <v>1455482.0938892309</v>
      </c>
      <c r="G73" s="11">
        <f>+'[40]exp line dept(2017)'!$G$64</f>
        <v>817105.14136417233</v>
      </c>
      <c r="H73" s="11">
        <f>+'[40]exp line dept(2017)'!$H$64</f>
        <v>745048.55834923068</v>
      </c>
      <c r="I73" s="11">
        <f>+'[40]exp line dept(2017)'!$I$64</f>
        <v>1091542.2598148049</v>
      </c>
      <c r="J73" s="11">
        <f>+'[40]exp line dept(2017)'!$J$64</f>
        <v>3058812.7179849297</v>
      </c>
      <c r="K73" s="11">
        <f>+'[40]exp line dept(2017)'!$K$64</f>
        <v>2119134.0317589762</v>
      </c>
      <c r="L73" s="11">
        <f>+'[40]exp line dept(2017)'!$L$64</f>
        <v>1179288.0004883159</v>
      </c>
      <c r="M73" s="11">
        <v>12749169.455571674</v>
      </c>
      <c r="N73" s="208">
        <f>+M73-'[40]exp line dept(2017)'!$M$64</f>
        <v>0</v>
      </c>
      <c r="Y73" s="134"/>
    </row>
    <row r="74" spans="2:40" x14ac:dyDescent="0.2">
      <c r="B74" s="134" t="s">
        <v>226</v>
      </c>
      <c r="C74" s="11">
        <v>626807.22683747788</v>
      </c>
      <c r="D74" s="11">
        <v>0</v>
      </c>
      <c r="E74" s="11">
        <v>1725802.8619165386</v>
      </c>
      <c r="F74" s="11">
        <v>1529160.8409738</v>
      </c>
      <c r="G74" s="11">
        <v>917462.57819999976</v>
      </c>
      <c r="H74" s="11">
        <v>794795.18771092303</v>
      </c>
      <c r="I74" s="11">
        <v>900370.73696356989</v>
      </c>
      <c r="J74" s="11">
        <v>3284941.5081076915</v>
      </c>
      <c r="K74" s="11">
        <v>2010360.0828045099</v>
      </c>
      <c r="L74" s="11">
        <v>1185433.1396895153</v>
      </c>
      <c r="M74" s="11">
        <v>12975134.163204027</v>
      </c>
      <c r="Y74" s="134"/>
    </row>
    <row r="75" spans="2:40" x14ac:dyDescent="0.2">
      <c r="B75" s="134" t="s">
        <v>238</v>
      </c>
      <c r="C75" s="258">
        <v>612588.64071599999</v>
      </c>
      <c r="D75" s="258">
        <v>0</v>
      </c>
      <c r="E75" s="258">
        <v>1945122.4843076924</v>
      </c>
      <c r="F75" s="258">
        <v>1519934.6210481229</v>
      </c>
      <c r="G75" s="258">
        <v>952026.90836538468</v>
      </c>
      <c r="H75" s="258">
        <v>803440.10217076913</v>
      </c>
      <c r="I75" s="258">
        <v>829777.3377353847</v>
      </c>
      <c r="J75" s="258">
        <v>3412822.5774218766</v>
      </c>
      <c r="K75" s="258">
        <v>2022580.4724748663</v>
      </c>
      <c r="L75" s="258">
        <v>1440209.5923451772</v>
      </c>
      <c r="M75" s="258">
        <v>13538503.182524061</v>
      </c>
      <c r="Y75" s="134"/>
    </row>
    <row r="76" spans="2:40" x14ac:dyDescent="0.2">
      <c r="B76" s="134" t="s">
        <v>252</v>
      </c>
      <c r="C76" s="258">
        <v>599274.02997338469</v>
      </c>
      <c r="D76" s="258">
        <v>0</v>
      </c>
      <c r="E76" s="258">
        <v>1921224.1966192308</v>
      </c>
      <c r="F76" s="258">
        <v>1425185.792846954</v>
      </c>
      <c r="G76" s="258">
        <v>888236.89891715965</v>
      </c>
      <c r="H76" s="258">
        <v>826907.93345123075</v>
      </c>
      <c r="I76" s="258">
        <v>860718.47670141258</v>
      </c>
      <c r="J76" s="258">
        <v>3347885.3642723081</v>
      </c>
      <c r="K76" s="258">
        <v>2035715.9805313665</v>
      </c>
      <c r="L76" s="258">
        <v>1454799.6038887817</v>
      </c>
      <c r="M76" s="258">
        <v>13359948.277201828</v>
      </c>
      <c r="Y76" s="134"/>
    </row>
    <row r="77" spans="2:40" x14ac:dyDescent="0.2">
      <c r="B77" s="134"/>
      <c r="C77" s="258">
        <f>+C68-C76</f>
        <v>-99158.211179740261</v>
      </c>
      <c r="D77" s="258"/>
      <c r="E77" s="258">
        <f t="shared" ref="E77:M77" si="41">+E68-E76</f>
        <v>-301000.8195815084</v>
      </c>
      <c r="F77" s="258">
        <f t="shared" si="41"/>
        <v>-96920.385933270678</v>
      </c>
      <c r="G77" s="258">
        <f t="shared" si="41"/>
        <v>-75483.384903106373</v>
      </c>
      <c r="H77" s="258">
        <f t="shared" si="41"/>
        <v>-45433.949153991183</v>
      </c>
      <c r="I77" s="258">
        <f t="shared" si="41"/>
        <v>-220427.23310621665</v>
      </c>
      <c r="J77" s="258">
        <f t="shared" si="41"/>
        <v>-283606.19578022743</v>
      </c>
      <c r="K77" s="258">
        <f t="shared" si="41"/>
        <v>-166591.06807178631</v>
      </c>
      <c r="L77" s="258">
        <f t="shared" si="41"/>
        <v>-191603.62365880003</v>
      </c>
      <c r="M77" s="258">
        <f t="shared" si="41"/>
        <v>-1480224.8713686466</v>
      </c>
      <c r="N77" s="207">
        <f>+M77/M76</f>
        <v>-0.11079570374494534</v>
      </c>
      <c r="Y77" s="134"/>
    </row>
    <row r="78" spans="2:40" x14ac:dyDescent="0.2">
      <c r="C78" s="21">
        <f t="shared" ref="C78:L78" si="42">+C77/C76</f>
        <v>-0.16546388833860218</v>
      </c>
      <c r="D78" s="21" t="e">
        <f t="shared" si="42"/>
        <v>#DIV/0!</v>
      </c>
      <c r="E78" s="21">
        <f t="shared" si="42"/>
        <v>-0.1566713661587118</v>
      </c>
      <c r="F78" s="21">
        <f t="shared" si="42"/>
        <v>-6.800543930462731E-2</v>
      </c>
      <c r="G78" s="21">
        <f t="shared" si="42"/>
        <v>-8.4981140723975085E-2</v>
      </c>
      <c r="H78" s="21">
        <f t="shared" si="42"/>
        <v>-5.4944386570782343E-2</v>
      </c>
      <c r="I78" s="21">
        <f t="shared" si="42"/>
        <v>-0.25609678317929724</v>
      </c>
      <c r="J78" s="21">
        <f t="shared" si="42"/>
        <v>-8.4712039070032996E-2</v>
      </c>
      <c r="K78" s="21">
        <f t="shared" si="42"/>
        <v>-8.1834140747032103E-2</v>
      </c>
      <c r="L78" s="21">
        <f t="shared" si="42"/>
        <v>-0.13170447884824141</v>
      </c>
      <c r="M78" s="21">
        <f>+M77/M76</f>
        <v>-0.11079570374494534</v>
      </c>
      <c r="Y78" s="134"/>
    </row>
    <row r="79" spans="2:40" hidden="1" x14ac:dyDescent="0.2"/>
    <row r="80" spans="2:40" hidden="1" x14ac:dyDescent="0.2">
      <c r="C80" s="13">
        <f>+C68-Adjustment!H30</f>
        <v>500115.81879364443</v>
      </c>
      <c r="D80" s="13"/>
      <c r="E80" s="13">
        <f>+E68-Adjustment!I30</f>
        <v>1620223.3770377224</v>
      </c>
      <c r="F80" s="13">
        <f>+F68-Adjustment!J30</f>
        <v>1328265.4069136833</v>
      </c>
      <c r="G80" s="13">
        <f>+G68-Adjustment!K30</f>
        <v>812753.51401405327</v>
      </c>
      <c r="H80" s="13">
        <f>+H68-Adjustment!L30</f>
        <v>781473.98429723957</v>
      </c>
      <c r="I80" s="13">
        <f>+I68-Adjustment!M30</f>
        <v>640291.24359519593</v>
      </c>
      <c r="J80" s="13">
        <f>+J68-Adjustment!N30</f>
        <v>3064279.1684920806</v>
      </c>
      <c r="K80" s="13">
        <f>+K68-Adjustment!O30</f>
        <v>1869124.9124595802</v>
      </c>
      <c r="L80" s="13">
        <f>+L68-Adjustment!P30</f>
        <v>1263195.9802299817</v>
      </c>
      <c r="M80" s="258">
        <f>SUM(C80:L80)</f>
        <v>11879723.405833181</v>
      </c>
    </row>
    <row r="81" spans="2:25" hidden="1" x14ac:dyDescent="0.2"/>
    <row r="82" spans="2:25" hidden="1" x14ac:dyDescent="0.2">
      <c r="B82" s="134" t="s">
        <v>252</v>
      </c>
      <c r="C82" s="258">
        <v>612588.64071599999</v>
      </c>
      <c r="D82" s="258">
        <v>0</v>
      </c>
      <c r="E82" s="258">
        <v>1945122.4843076924</v>
      </c>
      <c r="F82" s="258">
        <v>1519934.6210481229</v>
      </c>
      <c r="G82" s="258">
        <v>952026.90836538468</v>
      </c>
      <c r="H82" s="258">
        <v>803440.10217076913</v>
      </c>
      <c r="I82" s="258">
        <v>829777.3377353847</v>
      </c>
      <c r="J82" s="258">
        <v>3412822.5774218766</v>
      </c>
      <c r="K82" s="258">
        <v>2022580.4724748663</v>
      </c>
      <c r="L82" s="258">
        <v>1440209.5923451772</v>
      </c>
      <c r="M82" s="258">
        <f t="shared" ref="M82:M83" si="43">SUM(C82:L82)</f>
        <v>13538502.736585274</v>
      </c>
      <c r="Y82" s="134"/>
    </row>
    <row r="83" spans="2:25" hidden="1" x14ac:dyDescent="0.2">
      <c r="B83" s="134"/>
      <c r="C83" s="23">
        <f>+C80-C82</f>
        <v>-112472.82192235556</v>
      </c>
      <c r="D83" s="23"/>
      <c r="E83" s="23">
        <f t="shared" ref="E83:L83" si="44">+E80-E82</f>
        <v>-324899.10726997</v>
      </c>
      <c r="F83" s="23">
        <f t="shared" si="44"/>
        <v>-191669.21413443959</v>
      </c>
      <c r="G83" s="23">
        <f t="shared" si="44"/>
        <v>-139273.3943513314</v>
      </c>
      <c r="H83" s="23">
        <f t="shared" si="44"/>
        <v>-21966.117873529554</v>
      </c>
      <c r="I83" s="23">
        <f t="shared" si="44"/>
        <v>-189486.09414018877</v>
      </c>
      <c r="J83" s="23">
        <f t="shared" si="44"/>
        <v>-348543.40892979596</v>
      </c>
      <c r="K83" s="23">
        <f t="shared" si="44"/>
        <v>-153455.56001528609</v>
      </c>
      <c r="L83" s="23">
        <f t="shared" si="44"/>
        <v>-177013.61211519549</v>
      </c>
      <c r="M83" s="258">
        <f t="shared" si="43"/>
        <v>-1658779.3307520924</v>
      </c>
      <c r="Y83" s="134"/>
    </row>
    <row r="84" spans="2:25" hidden="1" x14ac:dyDescent="0.2">
      <c r="C84" s="21">
        <f>+C83/C82</f>
        <v>-0.18360252614363884</v>
      </c>
      <c r="D84" s="11"/>
      <c r="E84" s="21">
        <f t="shared" ref="E84:M84" si="45">+E83/E82</f>
        <v>-0.16703272410405973</v>
      </c>
      <c r="F84" s="21">
        <f t="shared" si="45"/>
        <v>-0.12610359122043521</v>
      </c>
      <c r="G84" s="21">
        <f t="shared" si="45"/>
        <v>-0.14629144736093819</v>
      </c>
      <c r="H84" s="21">
        <f t="shared" si="45"/>
        <v>-2.7340081499766505E-2</v>
      </c>
      <c r="I84" s="21">
        <f t="shared" si="45"/>
        <v>-0.22835775999538774</v>
      </c>
      <c r="J84" s="21">
        <f t="shared" si="45"/>
        <v>-0.10212760875283869</v>
      </c>
      <c r="K84" s="21">
        <f t="shared" si="45"/>
        <v>-7.5871176501331031E-2</v>
      </c>
      <c r="L84" s="21">
        <f t="shared" si="45"/>
        <v>-0.1229082302020735</v>
      </c>
      <c r="M84" s="21">
        <f t="shared" si="45"/>
        <v>-0.12252310045109724</v>
      </c>
      <c r="Y84" s="134"/>
    </row>
    <row r="85" spans="2:25" hidden="1" x14ac:dyDescent="0.2"/>
    <row r="86" spans="2:25" hidden="1" x14ac:dyDescent="0.2"/>
    <row r="87" spans="2:25" hidden="1" x14ac:dyDescent="0.2"/>
    <row r="91" spans="2:25" x14ac:dyDescent="0.2">
      <c r="B91" s="134"/>
      <c r="C91" s="13"/>
    </row>
  </sheetData>
  <mergeCells count="11">
    <mergeCell ref="C4:C5"/>
    <mergeCell ref="J4:J5"/>
    <mergeCell ref="K4:K5"/>
    <mergeCell ref="L4:L5"/>
    <mergeCell ref="M4:M5"/>
    <mergeCell ref="E4:E5"/>
    <mergeCell ref="F4:F5"/>
    <mergeCell ref="G4:G5"/>
    <mergeCell ref="H4:H5"/>
    <mergeCell ref="I4:I5"/>
    <mergeCell ref="D4:D5"/>
  </mergeCells>
  <pageMargins left="0.5" right="0.24" top="0.3" bottom="0.18" header="0.34" footer="0.17"/>
  <pageSetup scale="60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workbookViewId="0">
      <selection activeCell="L3" sqref="L3"/>
    </sheetView>
  </sheetViews>
  <sheetFormatPr defaultRowHeight="12.75" x14ac:dyDescent="0.2"/>
  <cols>
    <col min="1" max="1" width="4.5703125" customWidth="1"/>
    <col min="2" max="2" width="11.28515625" bestFit="1" customWidth="1"/>
    <col min="3" max="3" width="10.85546875" style="136" bestFit="1" customWidth="1"/>
    <col min="4" max="4" width="9.140625" style="136"/>
    <col min="5" max="5" width="11.85546875" style="136" bestFit="1" customWidth="1"/>
    <col min="6" max="6" width="10.28515625" style="136" bestFit="1" customWidth="1"/>
    <col min="7" max="8" width="9.85546875" style="136" bestFit="1" customWidth="1"/>
    <col min="9" max="11" width="11.85546875" style="136" bestFit="1" customWidth="1"/>
    <col min="12" max="12" width="10.85546875" style="136" bestFit="1" customWidth="1"/>
    <col min="13" max="13" width="14" style="136" bestFit="1" customWidth="1"/>
    <col min="14" max="14" width="11.85546875" bestFit="1" customWidth="1"/>
    <col min="15" max="15" width="12" style="136" bestFit="1" customWidth="1"/>
    <col min="16" max="16" width="11.85546875" style="136" bestFit="1" customWidth="1"/>
  </cols>
  <sheetData>
    <row r="1" spans="1:16" x14ac:dyDescent="0.2">
      <c r="B1" s="342" t="s">
        <v>266</v>
      </c>
      <c r="C1" s="343" t="s">
        <v>47</v>
      </c>
      <c r="D1" s="343" t="s">
        <v>157</v>
      </c>
      <c r="E1" s="343" t="s">
        <v>237</v>
      </c>
      <c r="F1" s="343" t="s">
        <v>49</v>
      </c>
      <c r="G1" s="343" t="s">
        <v>50</v>
      </c>
      <c r="H1" s="343" t="s">
        <v>51</v>
      </c>
      <c r="I1" s="343" t="s">
        <v>53</v>
      </c>
      <c r="J1" s="343" t="s">
        <v>29</v>
      </c>
      <c r="K1" s="343" t="s">
        <v>28</v>
      </c>
      <c r="L1" s="343" t="s">
        <v>84</v>
      </c>
      <c r="M1" s="343" t="s">
        <v>79</v>
      </c>
    </row>
    <row r="2" spans="1:16" x14ac:dyDescent="0.2">
      <c r="B2" s="342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3" spans="1:16" x14ac:dyDescent="0.2">
      <c r="A3" t="s">
        <v>267</v>
      </c>
      <c r="B3" s="298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>
        <v>12799287.451007899</v>
      </c>
    </row>
    <row r="4" spans="1:16" x14ac:dyDescent="0.2">
      <c r="B4" s="298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</row>
    <row r="5" spans="1:16" x14ac:dyDescent="0.2">
      <c r="A5">
        <v>1</v>
      </c>
      <c r="B5" t="s">
        <v>22</v>
      </c>
      <c r="I5" s="136">
        <v>-5000</v>
      </c>
      <c r="M5" s="136">
        <f>SUM(C5:L5)</f>
        <v>-5000</v>
      </c>
    </row>
    <row r="6" spans="1:16" x14ac:dyDescent="0.2">
      <c r="A6">
        <v>2</v>
      </c>
      <c r="B6" t="s">
        <v>13</v>
      </c>
      <c r="I6" s="136">
        <v>-18000</v>
      </c>
      <c r="M6" s="136">
        <f t="shared" ref="M6:M48" si="0">SUM(C6:L6)</f>
        <v>-18000</v>
      </c>
    </row>
    <row r="7" spans="1:16" x14ac:dyDescent="0.2">
      <c r="A7">
        <v>3</v>
      </c>
      <c r="B7" t="s">
        <v>17</v>
      </c>
      <c r="I7" s="136">
        <v>-60000</v>
      </c>
      <c r="M7" s="136">
        <f t="shared" si="0"/>
        <v>-60000</v>
      </c>
    </row>
    <row r="8" spans="1:16" x14ac:dyDescent="0.2">
      <c r="A8">
        <v>4</v>
      </c>
      <c r="B8" t="s">
        <v>10</v>
      </c>
      <c r="I8" s="100">
        <f>-222360</f>
        <v>-222360</v>
      </c>
      <c r="M8" s="136">
        <f t="shared" si="0"/>
        <v>-222360</v>
      </c>
      <c r="O8" s="136">
        <f>-222360/0.5</f>
        <v>-444720</v>
      </c>
      <c r="P8" s="136">
        <f>+O8*0.7</f>
        <v>-311304</v>
      </c>
    </row>
    <row r="9" spans="1:16" x14ac:dyDescent="0.2">
      <c r="A9">
        <v>5</v>
      </c>
      <c r="B9" t="s">
        <v>144</v>
      </c>
      <c r="I9" s="100"/>
      <c r="L9" s="9">
        <f>-73052.5*0.25</f>
        <v>-18263.125</v>
      </c>
      <c r="M9" s="136">
        <f t="shared" si="0"/>
        <v>-18263.125</v>
      </c>
    </row>
    <row r="10" spans="1:16" x14ac:dyDescent="0.2">
      <c r="A10">
        <v>6</v>
      </c>
      <c r="B10" t="s">
        <v>268</v>
      </c>
      <c r="I10" s="100"/>
      <c r="L10" s="9">
        <f>97403.3333333333*-0.25</f>
        <v>-24350.833333333325</v>
      </c>
      <c r="M10" s="136">
        <f t="shared" si="0"/>
        <v>-24350.833333333325</v>
      </c>
    </row>
    <row r="11" spans="1:16" x14ac:dyDescent="0.2">
      <c r="A11">
        <v>7</v>
      </c>
      <c r="B11" t="s">
        <v>27</v>
      </c>
      <c r="I11" s="100">
        <v>-58000</v>
      </c>
      <c r="M11" s="136">
        <f t="shared" si="0"/>
        <v>-58000</v>
      </c>
    </row>
    <row r="12" spans="1:16" x14ac:dyDescent="0.2">
      <c r="A12">
        <v>8</v>
      </c>
      <c r="B12" s="150" t="s">
        <v>270</v>
      </c>
      <c r="C12" s="136">
        <v>-5000</v>
      </c>
      <c r="I12" s="100"/>
      <c r="M12" s="136">
        <f t="shared" si="0"/>
        <v>-5000</v>
      </c>
      <c r="P12" s="136">
        <f>+P8+I11</f>
        <v>-369304</v>
      </c>
    </row>
    <row r="13" spans="1:16" x14ac:dyDescent="0.2">
      <c r="A13">
        <v>9</v>
      </c>
      <c r="B13" t="s">
        <v>269</v>
      </c>
      <c r="C13" s="136">
        <v>-6000</v>
      </c>
      <c r="I13" s="100"/>
      <c r="M13" s="136">
        <f t="shared" si="0"/>
        <v>-6000</v>
      </c>
      <c r="N13" s="167"/>
    </row>
    <row r="14" spans="1:16" x14ac:dyDescent="0.2">
      <c r="A14">
        <v>10</v>
      </c>
      <c r="B14" t="s">
        <v>253</v>
      </c>
      <c r="C14" s="136">
        <v>-10000</v>
      </c>
      <c r="I14" s="100"/>
      <c r="M14" s="136">
        <f t="shared" si="0"/>
        <v>-10000</v>
      </c>
    </row>
    <row r="15" spans="1:16" x14ac:dyDescent="0.2">
      <c r="A15">
        <v>11</v>
      </c>
      <c r="B15" s="150" t="s">
        <v>273</v>
      </c>
      <c r="C15" s="136">
        <v>-2863</v>
      </c>
      <c r="I15" s="100"/>
      <c r="M15" s="136">
        <f t="shared" si="0"/>
        <v>-2863</v>
      </c>
    </row>
    <row r="16" spans="1:16" x14ac:dyDescent="0.2">
      <c r="A16">
        <v>12</v>
      </c>
      <c r="B16" s="150" t="s">
        <v>272</v>
      </c>
      <c r="C16" s="136">
        <v>-20000</v>
      </c>
      <c r="I16" s="100"/>
      <c r="M16" s="136">
        <f t="shared" si="0"/>
        <v>-20000</v>
      </c>
      <c r="N16" s="167">
        <f>SUM(M5:M16)</f>
        <v>-449836.95833333331</v>
      </c>
    </row>
    <row r="17" spans="1:13" x14ac:dyDescent="0.2">
      <c r="A17">
        <v>13</v>
      </c>
      <c r="B17" s="150" t="s">
        <v>271</v>
      </c>
      <c r="C17" s="136">
        <v>-10000</v>
      </c>
      <c r="I17" s="100"/>
      <c r="M17" s="136">
        <f t="shared" si="0"/>
        <v>-10000</v>
      </c>
    </row>
    <row r="18" spans="1:13" x14ac:dyDescent="0.2">
      <c r="A18">
        <v>14</v>
      </c>
      <c r="B18" s="150" t="s">
        <v>274</v>
      </c>
      <c r="I18" s="100"/>
      <c r="K18" s="100">
        <v>-35259.279999999999</v>
      </c>
      <c r="M18" s="136">
        <f t="shared" si="0"/>
        <v>-35259.279999999999</v>
      </c>
    </row>
    <row r="19" spans="1:13" x14ac:dyDescent="0.2">
      <c r="A19">
        <v>15</v>
      </c>
      <c r="B19" s="150" t="s">
        <v>275</v>
      </c>
      <c r="I19" s="100"/>
      <c r="K19" s="100">
        <v>-100246</v>
      </c>
      <c r="M19" s="136">
        <f t="shared" si="0"/>
        <v>-100246</v>
      </c>
    </row>
    <row r="20" spans="1:13" x14ac:dyDescent="0.2">
      <c r="A20">
        <v>16</v>
      </c>
      <c r="B20" t="s">
        <v>10</v>
      </c>
      <c r="I20" s="100">
        <f>+P8-I8</f>
        <v>-88944</v>
      </c>
      <c r="K20" s="100"/>
      <c r="M20" s="136">
        <f t="shared" si="0"/>
        <v>-88944</v>
      </c>
    </row>
    <row r="21" spans="1:13" x14ac:dyDescent="0.2">
      <c r="A21">
        <v>17</v>
      </c>
      <c r="B21" t="s">
        <v>276</v>
      </c>
      <c r="I21" s="100"/>
      <c r="J21" s="136">
        <v>-6653.01</v>
      </c>
      <c r="M21" s="136">
        <f t="shared" si="0"/>
        <v>-6653.01</v>
      </c>
    </row>
    <row r="22" spans="1:13" x14ac:dyDescent="0.2">
      <c r="A22">
        <v>18</v>
      </c>
      <c r="B22" t="s">
        <v>277</v>
      </c>
      <c r="F22" s="136">
        <v>29954.1</v>
      </c>
      <c r="I22" s="100"/>
      <c r="M22" s="136">
        <f t="shared" si="0"/>
        <v>29954.1</v>
      </c>
    </row>
    <row r="23" spans="1:13" x14ac:dyDescent="0.2">
      <c r="A23">
        <v>19</v>
      </c>
      <c r="B23" t="s">
        <v>11</v>
      </c>
      <c r="I23" s="100">
        <v>10000</v>
      </c>
      <c r="M23" s="136">
        <f t="shared" si="0"/>
        <v>10000</v>
      </c>
    </row>
    <row r="24" spans="1:13" x14ac:dyDescent="0.2">
      <c r="A24">
        <v>20</v>
      </c>
      <c r="B24" t="s">
        <v>27</v>
      </c>
      <c r="I24" s="100">
        <f>-86100+58000</f>
        <v>-28100</v>
      </c>
      <c r="M24" s="136">
        <f t="shared" si="0"/>
        <v>-28100</v>
      </c>
    </row>
    <row r="25" spans="1:13" x14ac:dyDescent="0.2">
      <c r="A25">
        <v>21</v>
      </c>
      <c r="B25" t="s">
        <v>278</v>
      </c>
      <c r="H25" s="136">
        <v>-6282.57</v>
      </c>
      <c r="M25" s="136">
        <f t="shared" si="0"/>
        <v>-6282.57</v>
      </c>
    </row>
    <row r="26" spans="1:13" x14ac:dyDescent="0.2">
      <c r="A26">
        <v>22</v>
      </c>
      <c r="B26" t="s">
        <v>279</v>
      </c>
      <c r="J26" s="136">
        <v>-100000</v>
      </c>
      <c r="M26" s="136">
        <f t="shared" si="0"/>
        <v>-100000</v>
      </c>
    </row>
    <row r="27" spans="1:13" x14ac:dyDescent="0.2">
      <c r="A27">
        <v>23</v>
      </c>
      <c r="B27" t="s">
        <v>280</v>
      </c>
      <c r="E27" s="136">
        <v>-139472.20000000001</v>
      </c>
      <c r="M27" s="136">
        <f t="shared" si="0"/>
        <v>-139472.20000000001</v>
      </c>
    </row>
    <row r="28" spans="1:13" x14ac:dyDescent="0.2">
      <c r="A28">
        <v>24</v>
      </c>
      <c r="B28" t="s">
        <v>280</v>
      </c>
      <c r="G28" s="136">
        <v>-5045</v>
      </c>
      <c r="M28" s="136">
        <f t="shared" si="0"/>
        <v>-5045</v>
      </c>
    </row>
    <row r="29" spans="1:13" x14ac:dyDescent="0.2">
      <c r="A29">
        <v>25</v>
      </c>
      <c r="B29" t="s">
        <v>282</v>
      </c>
      <c r="I29" s="136">
        <v>-45000</v>
      </c>
      <c r="M29" s="136">
        <f t="shared" si="0"/>
        <v>-45000</v>
      </c>
    </row>
    <row r="30" spans="1:13" x14ac:dyDescent="0.2">
      <c r="A30">
        <v>26</v>
      </c>
      <c r="B30" t="s">
        <v>283</v>
      </c>
      <c r="L30" s="136">
        <v>-8556.1299999999992</v>
      </c>
      <c r="M30" s="136">
        <f t="shared" si="0"/>
        <v>-8556.1299999999992</v>
      </c>
    </row>
    <row r="31" spans="1:13" x14ac:dyDescent="0.2">
      <c r="A31">
        <v>27</v>
      </c>
      <c r="B31" t="s">
        <v>284</v>
      </c>
      <c r="L31" s="136">
        <v>-6880</v>
      </c>
      <c r="M31" s="136">
        <f t="shared" si="0"/>
        <v>-6880</v>
      </c>
    </row>
    <row r="32" spans="1:13" x14ac:dyDescent="0.2">
      <c r="A32">
        <v>28</v>
      </c>
      <c r="B32" t="s">
        <v>85</v>
      </c>
      <c r="L32" s="136">
        <v>-6450</v>
      </c>
      <c r="M32" s="136">
        <f t="shared" si="0"/>
        <v>-6450</v>
      </c>
    </row>
    <row r="33" spans="1:13" x14ac:dyDescent="0.2">
      <c r="A33">
        <v>29</v>
      </c>
      <c r="B33" t="s">
        <v>283</v>
      </c>
      <c r="L33" s="136">
        <v>-2000</v>
      </c>
      <c r="M33" s="136">
        <f t="shared" si="0"/>
        <v>-2000</v>
      </c>
    </row>
    <row r="34" spans="1:13" x14ac:dyDescent="0.2">
      <c r="A34">
        <v>30</v>
      </c>
      <c r="B34" t="s">
        <v>190</v>
      </c>
      <c r="L34" s="136">
        <v>-2000</v>
      </c>
      <c r="M34" s="136">
        <f t="shared" si="0"/>
        <v>-2000</v>
      </c>
    </row>
    <row r="35" spans="1:13" x14ac:dyDescent="0.2">
      <c r="A35">
        <v>31</v>
      </c>
      <c r="B35" t="s">
        <v>26</v>
      </c>
      <c r="L35" s="136">
        <v>-5000</v>
      </c>
      <c r="M35" s="136">
        <f t="shared" si="0"/>
        <v>-5000</v>
      </c>
    </row>
    <row r="36" spans="1:13" x14ac:dyDescent="0.2">
      <c r="A36">
        <v>32</v>
      </c>
      <c r="B36" t="s">
        <v>285</v>
      </c>
      <c r="C36" s="136">
        <v>-10000</v>
      </c>
      <c r="M36" s="136">
        <f t="shared" si="0"/>
        <v>-10000</v>
      </c>
    </row>
    <row r="37" spans="1:13" x14ac:dyDescent="0.2">
      <c r="A37">
        <v>33</v>
      </c>
      <c r="B37" t="s">
        <v>286</v>
      </c>
      <c r="C37" s="136">
        <v>-25000</v>
      </c>
      <c r="M37" s="136">
        <f t="shared" si="0"/>
        <v>-25000</v>
      </c>
    </row>
    <row r="38" spans="1:13" x14ac:dyDescent="0.2">
      <c r="A38">
        <v>34</v>
      </c>
      <c r="B38" t="s">
        <v>287</v>
      </c>
      <c r="I38" s="136">
        <v>-500</v>
      </c>
      <c r="M38" s="136">
        <f t="shared" si="0"/>
        <v>-500</v>
      </c>
    </row>
    <row r="39" spans="1:13" x14ac:dyDescent="0.2">
      <c r="A39">
        <v>35</v>
      </c>
      <c r="B39" t="s">
        <v>42</v>
      </c>
      <c r="I39" s="136">
        <v>-2500</v>
      </c>
      <c r="M39" s="136">
        <f t="shared" si="0"/>
        <v>-2500</v>
      </c>
    </row>
    <row r="40" spans="1:13" x14ac:dyDescent="0.2">
      <c r="A40">
        <v>36</v>
      </c>
      <c r="B40" t="s">
        <v>288</v>
      </c>
      <c r="I40" s="136">
        <v>-5000</v>
      </c>
      <c r="M40" s="136">
        <f t="shared" si="0"/>
        <v>-5000</v>
      </c>
    </row>
    <row r="41" spans="1:13" x14ac:dyDescent="0.2">
      <c r="A41">
        <v>37</v>
      </c>
      <c r="B41" t="s">
        <v>289</v>
      </c>
      <c r="I41" s="136">
        <v>-500</v>
      </c>
      <c r="M41" s="136">
        <f t="shared" si="0"/>
        <v>-500</v>
      </c>
    </row>
    <row r="42" spans="1:13" x14ac:dyDescent="0.2">
      <c r="A42">
        <v>38</v>
      </c>
      <c r="B42" t="s">
        <v>290</v>
      </c>
      <c r="K42" s="136">
        <v>-2500</v>
      </c>
      <c r="M42" s="136">
        <f t="shared" si="0"/>
        <v>-2500</v>
      </c>
    </row>
    <row r="43" spans="1:13" x14ac:dyDescent="0.2">
      <c r="A43">
        <v>39</v>
      </c>
      <c r="B43" t="s">
        <v>291</v>
      </c>
      <c r="K43" s="136">
        <v>-1500</v>
      </c>
      <c r="M43" s="136">
        <f t="shared" si="0"/>
        <v>-1500</v>
      </c>
    </row>
    <row r="44" spans="1:13" x14ac:dyDescent="0.2">
      <c r="A44">
        <v>40</v>
      </c>
      <c r="B44" t="s">
        <v>279</v>
      </c>
      <c r="J44" s="136">
        <f>-50000+4500+13977</f>
        <v>-31523</v>
      </c>
      <c r="M44" s="136">
        <f t="shared" si="0"/>
        <v>-31523</v>
      </c>
    </row>
    <row r="45" spans="1:13" x14ac:dyDescent="0.2">
      <c r="A45">
        <v>41</v>
      </c>
      <c r="B45" t="s">
        <v>292</v>
      </c>
      <c r="K45" s="136">
        <v>-20000</v>
      </c>
      <c r="M45" s="136">
        <f t="shared" si="0"/>
        <v>-20000</v>
      </c>
    </row>
    <row r="46" spans="1:13" x14ac:dyDescent="0.2">
      <c r="A46">
        <v>42</v>
      </c>
      <c r="B46" t="s">
        <v>293</v>
      </c>
      <c r="J46" s="136">
        <v>-793</v>
      </c>
      <c r="M46" s="136">
        <f t="shared" si="0"/>
        <v>-793</v>
      </c>
    </row>
    <row r="47" spans="1:13" x14ac:dyDescent="0.2">
      <c r="A47">
        <v>43</v>
      </c>
      <c r="B47" t="s">
        <v>183</v>
      </c>
      <c r="J47" s="136">
        <v>-13977</v>
      </c>
      <c r="M47" s="136">
        <f t="shared" si="0"/>
        <v>-13977</v>
      </c>
    </row>
    <row r="48" spans="1:13" x14ac:dyDescent="0.2">
      <c r="A48">
        <v>44</v>
      </c>
      <c r="B48" t="s">
        <v>294</v>
      </c>
      <c r="J48" s="136">
        <v>200000</v>
      </c>
      <c r="M48" s="136">
        <f t="shared" si="0"/>
        <v>200000</v>
      </c>
    </row>
    <row r="49" spans="1:13" x14ac:dyDescent="0.2">
      <c r="A49" s="150" t="s">
        <v>79</v>
      </c>
      <c r="C49" s="136">
        <f t="shared" ref="C49:L49" si="1">SUM(C5:C48)</f>
        <v>-88863</v>
      </c>
      <c r="D49" s="136">
        <f t="shared" si="1"/>
        <v>0</v>
      </c>
      <c r="E49" s="136">
        <f t="shared" si="1"/>
        <v>-139472.20000000001</v>
      </c>
      <c r="F49" s="136">
        <f t="shared" si="1"/>
        <v>29954.1</v>
      </c>
      <c r="G49" s="136">
        <f t="shared" si="1"/>
        <v>-5045</v>
      </c>
      <c r="H49" s="136">
        <f t="shared" si="1"/>
        <v>-6282.57</v>
      </c>
      <c r="I49" s="136">
        <f t="shared" si="1"/>
        <v>-523904</v>
      </c>
      <c r="J49" s="136">
        <f t="shared" si="1"/>
        <v>47053.989999999991</v>
      </c>
      <c r="K49" s="136">
        <f t="shared" si="1"/>
        <v>-159505.28</v>
      </c>
      <c r="L49" s="136">
        <f t="shared" si="1"/>
        <v>-73500.088333333319</v>
      </c>
      <c r="M49" s="136">
        <f>SUM(M5:M48)</f>
        <v>-919564.04833333334</v>
      </c>
    </row>
    <row r="55" spans="1:13" x14ac:dyDescent="0.2">
      <c r="M55" s="136">
        <f>+M3+M49</f>
        <v>11879723.402674565</v>
      </c>
    </row>
    <row r="56" spans="1:13" x14ac:dyDescent="0.2">
      <c r="M56" s="136">
        <f>+M55-'2022'!M68</f>
        <v>-3.1586159020662308E-3</v>
      </c>
    </row>
  </sheetData>
  <mergeCells count="12">
    <mergeCell ref="G1:G2"/>
    <mergeCell ref="H1:H2"/>
    <mergeCell ref="B1:B2"/>
    <mergeCell ref="C1:C2"/>
    <mergeCell ref="D1:D2"/>
    <mergeCell ref="E1:E2"/>
    <mergeCell ref="F1:F2"/>
    <mergeCell ref="I1:I2"/>
    <mergeCell ref="J1:J2"/>
    <mergeCell ref="K1:K2"/>
    <mergeCell ref="L1:L2"/>
    <mergeCell ref="M1:M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7" sqref="A27"/>
    </sheetView>
  </sheetViews>
  <sheetFormatPr defaultRowHeight="12.75" x14ac:dyDescent="0.2"/>
  <cols>
    <col min="4" max="4" width="14" style="136" bestFit="1" customWidth="1"/>
    <col min="5" max="6" width="14" style="136" customWidth="1"/>
    <col min="7" max="7" width="0" hidden="1" customWidth="1"/>
    <col min="8" max="10" width="10.28515625" hidden="1" customWidth="1"/>
    <col min="11" max="11" width="9.85546875" hidden="1" customWidth="1"/>
    <col min="12" max="12" width="10.28515625" hidden="1" customWidth="1"/>
    <col min="13" max="13" width="11.28515625" hidden="1" customWidth="1"/>
    <col min="14" max="14" width="10.28515625" hidden="1" customWidth="1"/>
    <col min="15" max="15" width="12.7109375" hidden="1" customWidth="1"/>
    <col min="16" max="16" width="10.140625" hidden="1" customWidth="1"/>
    <col min="17" max="17" width="11.28515625" hidden="1" customWidth="1"/>
    <col min="18" max="18" width="11.85546875" hidden="1" customWidth="1"/>
    <col min="19" max="21" width="0" hidden="1" customWidth="1"/>
  </cols>
  <sheetData>
    <row r="1" spans="1:18" x14ac:dyDescent="0.2">
      <c r="H1" s="342" t="s">
        <v>47</v>
      </c>
      <c r="I1" s="342" t="s">
        <v>237</v>
      </c>
      <c r="J1" s="342" t="s">
        <v>49</v>
      </c>
      <c r="K1" s="342" t="s">
        <v>50</v>
      </c>
      <c r="L1" s="342" t="s">
        <v>51</v>
      </c>
      <c r="M1" s="342" t="s">
        <v>53</v>
      </c>
      <c r="N1" s="342" t="s">
        <v>29</v>
      </c>
      <c r="O1" s="342" t="s">
        <v>28</v>
      </c>
      <c r="P1" s="342" t="s">
        <v>84</v>
      </c>
      <c r="Q1" s="342" t="s">
        <v>79</v>
      </c>
    </row>
    <row r="2" spans="1:18" x14ac:dyDescent="0.2">
      <c r="A2" t="s">
        <v>239</v>
      </c>
      <c r="D2" s="136">
        <f>+'2022'!M68</f>
        <v>11879723.405833181</v>
      </c>
      <c r="E2" s="136">
        <f>+D2</f>
        <v>11879723.405833181</v>
      </c>
      <c r="F2" s="136">
        <f>+'2022'!M68</f>
        <v>11879723.405833181</v>
      </c>
      <c r="H2" s="342"/>
      <c r="I2" s="342"/>
      <c r="J2" s="342"/>
      <c r="K2" s="342"/>
      <c r="L2" s="342"/>
      <c r="M2" s="342"/>
      <c r="N2" s="342"/>
      <c r="O2" s="342"/>
      <c r="P2" s="342"/>
      <c r="Q2" s="342"/>
    </row>
    <row r="3" spans="1:18" x14ac:dyDescent="0.2">
      <c r="A3" t="s">
        <v>254</v>
      </c>
      <c r="E3" s="136">
        <v>-53085</v>
      </c>
    </row>
    <row r="4" spans="1:18" hidden="1" x14ac:dyDescent="0.2">
      <c r="A4" t="s">
        <v>150</v>
      </c>
    </row>
    <row r="5" spans="1:18" hidden="1" x14ac:dyDescent="0.2"/>
    <row r="6" spans="1:18" hidden="1" x14ac:dyDescent="0.2">
      <c r="A6" t="s">
        <v>33</v>
      </c>
      <c r="D6" s="168">
        <f>++-35000+35000</f>
        <v>0</v>
      </c>
      <c r="E6" s="168"/>
      <c r="F6" s="168"/>
      <c r="G6" s="101"/>
      <c r="H6" s="168"/>
      <c r="I6" s="168"/>
      <c r="J6" s="168"/>
      <c r="K6" s="168"/>
      <c r="L6" s="168"/>
      <c r="M6" s="168"/>
      <c r="N6" s="168"/>
      <c r="O6" s="168">
        <v>0</v>
      </c>
      <c r="P6" s="136"/>
      <c r="Q6" s="136">
        <f t="shared" ref="Q6:Q19" si="0">SUM(H6:P6)</f>
        <v>0</v>
      </c>
      <c r="R6" s="167">
        <f t="shared" ref="R6:R19" si="1">+D6+Q6</f>
        <v>0</v>
      </c>
    </row>
    <row r="7" spans="1:18" hidden="1" x14ac:dyDescent="0.2">
      <c r="A7" t="s">
        <v>240</v>
      </c>
      <c r="D7" s="170">
        <f>-150000+150000</f>
        <v>0</v>
      </c>
      <c r="E7" s="170"/>
      <c r="F7" s="170"/>
      <c r="G7" s="101"/>
      <c r="H7" s="168"/>
      <c r="I7" s="168"/>
      <c r="J7" s="168"/>
      <c r="K7" s="168"/>
      <c r="L7" s="168"/>
      <c r="M7" s="168">
        <f>150000-150000</f>
        <v>0</v>
      </c>
      <c r="N7" s="168"/>
      <c r="O7" s="168">
        <v>0</v>
      </c>
      <c r="P7" s="136"/>
      <c r="Q7" s="136">
        <f t="shared" si="0"/>
        <v>0</v>
      </c>
      <c r="R7" s="167">
        <f t="shared" si="1"/>
        <v>0</v>
      </c>
    </row>
    <row r="8" spans="1:18" hidden="1" x14ac:dyDescent="0.2">
      <c r="A8" t="s">
        <v>18</v>
      </c>
      <c r="D8" s="168">
        <v>0</v>
      </c>
      <c r="E8" s="168"/>
      <c r="F8" s="168"/>
      <c r="G8" s="101"/>
      <c r="H8" s="168"/>
      <c r="I8" s="168"/>
      <c r="J8" s="168">
        <v>0</v>
      </c>
      <c r="K8" s="168"/>
      <c r="L8" s="168">
        <v>0</v>
      </c>
      <c r="M8" s="168"/>
      <c r="N8" s="168"/>
      <c r="O8" s="168">
        <v>0</v>
      </c>
      <c r="P8" s="136"/>
      <c r="Q8" s="136">
        <f t="shared" si="0"/>
        <v>0</v>
      </c>
      <c r="R8" s="167">
        <f t="shared" si="1"/>
        <v>0</v>
      </c>
    </row>
    <row r="9" spans="1:18" hidden="1" x14ac:dyDescent="0.2">
      <c r="A9" t="s">
        <v>10</v>
      </c>
      <c r="D9" s="169">
        <f>-473000/2+236500</f>
        <v>0</v>
      </c>
      <c r="E9" s="169"/>
      <c r="F9" s="169"/>
      <c r="H9" s="136"/>
      <c r="I9" s="136"/>
      <c r="J9" s="136"/>
      <c r="K9" s="136"/>
      <c r="L9" s="136"/>
      <c r="M9" s="136">
        <f>236500-236500</f>
        <v>0</v>
      </c>
      <c r="N9" s="136"/>
      <c r="O9" s="136"/>
      <c r="P9" s="136"/>
      <c r="Q9" s="136">
        <f t="shared" si="0"/>
        <v>0</v>
      </c>
      <c r="R9" s="167">
        <f t="shared" si="1"/>
        <v>0</v>
      </c>
    </row>
    <row r="10" spans="1:18" hidden="1" x14ac:dyDescent="0.2">
      <c r="A10" t="s">
        <v>26</v>
      </c>
      <c r="D10" s="136">
        <f>+-56000+3000+13000+5000+25000+10000</f>
        <v>0</v>
      </c>
      <c r="H10" s="136"/>
      <c r="I10" s="136">
        <v>0</v>
      </c>
      <c r="J10" s="136">
        <v>0</v>
      </c>
      <c r="K10" s="136">
        <v>0</v>
      </c>
      <c r="L10" s="136"/>
      <c r="M10" s="136"/>
      <c r="N10" s="136"/>
      <c r="O10" s="136">
        <f>25000-25000</f>
        <v>0</v>
      </c>
      <c r="P10" s="136">
        <f>10000-10000</f>
        <v>0</v>
      </c>
      <c r="Q10" s="136">
        <f t="shared" si="0"/>
        <v>0</v>
      </c>
      <c r="R10" s="167">
        <f t="shared" si="1"/>
        <v>0</v>
      </c>
    </row>
    <row r="11" spans="1:18" hidden="1" x14ac:dyDescent="0.2">
      <c r="A11" t="s">
        <v>9</v>
      </c>
      <c r="D11" s="136">
        <v>0</v>
      </c>
      <c r="H11" s="136"/>
      <c r="I11" s="136"/>
      <c r="J11" s="136"/>
      <c r="K11" s="136"/>
      <c r="L11" s="136"/>
      <c r="M11" s="136"/>
      <c r="N11" s="136"/>
      <c r="O11" s="136"/>
      <c r="P11" s="136"/>
      <c r="Q11" s="136">
        <f t="shared" si="0"/>
        <v>0</v>
      </c>
      <c r="R11" s="167">
        <f t="shared" si="1"/>
        <v>0</v>
      </c>
    </row>
    <row r="12" spans="1:18" hidden="1" x14ac:dyDescent="0.2">
      <c r="A12" t="s">
        <v>88</v>
      </c>
      <c r="D12" s="168">
        <f>-42000+42000</f>
        <v>0</v>
      </c>
      <c r="E12" s="168"/>
      <c r="F12" s="168"/>
      <c r="G12" s="101"/>
      <c r="H12" s="168"/>
      <c r="I12" s="168"/>
      <c r="J12" s="168">
        <v>0</v>
      </c>
      <c r="K12" s="168"/>
      <c r="L12" s="168"/>
      <c r="M12" s="168"/>
      <c r="N12" s="168"/>
      <c r="O12" s="168"/>
      <c r="P12" s="136"/>
      <c r="Q12" s="136">
        <f t="shared" si="0"/>
        <v>0</v>
      </c>
      <c r="R12" s="167">
        <f t="shared" si="1"/>
        <v>0</v>
      </c>
    </row>
    <row r="13" spans="1:18" hidden="1" x14ac:dyDescent="0.2">
      <c r="A13" t="s">
        <v>242</v>
      </c>
      <c r="D13" s="168">
        <f>-50000+10000+40000</f>
        <v>0</v>
      </c>
      <c r="E13" s="168"/>
      <c r="F13" s="168"/>
      <c r="G13" s="101"/>
      <c r="H13" s="168"/>
      <c r="I13" s="168">
        <v>0</v>
      </c>
      <c r="J13" s="168"/>
      <c r="K13" s="168"/>
      <c r="L13" s="168"/>
      <c r="M13" s="168"/>
      <c r="N13" s="168"/>
      <c r="O13" s="168">
        <f>40000-40000</f>
        <v>0</v>
      </c>
      <c r="P13" s="136"/>
      <c r="Q13" s="136">
        <f t="shared" si="0"/>
        <v>0</v>
      </c>
      <c r="R13" s="167">
        <f t="shared" si="1"/>
        <v>0</v>
      </c>
    </row>
    <row r="14" spans="1:18" hidden="1" x14ac:dyDescent="0.2">
      <c r="A14" t="s">
        <v>243</v>
      </c>
      <c r="D14" s="136">
        <v>0</v>
      </c>
      <c r="H14" s="136">
        <v>0</v>
      </c>
      <c r="I14" s="136"/>
      <c r="J14" s="136"/>
      <c r="K14" s="136"/>
      <c r="L14" s="136">
        <v>0</v>
      </c>
      <c r="M14" s="136"/>
      <c r="N14" s="136"/>
      <c r="O14" s="136"/>
      <c r="P14" s="136"/>
      <c r="Q14" s="136">
        <f t="shared" si="0"/>
        <v>0</v>
      </c>
      <c r="R14" s="167">
        <f t="shared" si="1"/>
        <v>0</v>
      </c>
    </row>
    <row r="15" spans="1:18" hidden="1" x14ac:dyDescent="0.2">
      <c r="A15" t="s">
        <v>244</v>
      </c>
      <c r="D15" s="168">
        <f>-'2022'!V24</f>
        <v>80400</v>
      </c>
      <c r="E15" s="168"/>
      <c r="F15" s="168"/>
      <c r="G15" s="101"/>
      <c r="H15" s="168"/>
      <c r="I15" s="168"/>
      <c r="J15" s="168"/>
      <c r="K15" s="168"/>
      <c r="L15" s="168"/>
      <c r="M15" s="168"/>
      <c r="N15" s="168"/>
      <c r="O15" s="168"/>
      <c r="P15" s="168">
        <f>20000-20000</f>
        <v>0</v>
      </c>
      <c r="Q15" s="136">
        <f t="shared" si="0"/>
        <v>0</v>
      </c>
      <c r="R15" s="167">
        <f t="shared" si="1"/>
        <v>80400</v>
      </c>
    </row>
    <row r="16" spans="1:18" hidden="1" x14ac:dyDescent="0.2">
      <c r="A16" t="s">
        <v>241</v>
      </c>
      <c r="D16" s="168">
        <f>-'2022'!M64</f>
        <v>0</v>
      </c>
      <c r="E16" s="168"/>
      <c r="F16" s="168"/>
      <c r="G16" s="101"/>
      <c r="H16" s="168"/>
      <c r="I16" s="168"/>
      <c r="J16" s="168"/>
      <c r="K16" s="168"/>
      <c r="L16" s="168"/>
      <c r="M16" s="168"/>
      <c r="N16" s="168"/>
      <c r="O16" s="168">
        <v>0</v>
      </c>
      <c r="P16" s="136"/>
      <c r="Q16" s="136">
        <f t="shared" si="0"/>
        <v>0</v>
      </c>
      <c r="R16" s="167">
        <f t="shared" si="1"/>
        <v>0</v>
      </c>
    </row>
    <row r="17" spans="1:18" hidden="1" x14ac:dyDescent="0.2">
      <c r="A17" t="s">
        <v>14</v>
      </c>
      <c r="D17" s="168">
        <v>0</v>
      </c>
      <c r="E17" s="168"/>
      <c r="F17" s="168"/>
      <c r="G17" s="101"/>
      <c r="H17" s="168"/>
      <c r="I17" s="168"/>
      <c r="J17" s="168"/>
      <c r="K17" s="168"/>
      <c r="L17" s="168"/>
      <c r="M17" s="168"/>
      <c r="N17" s="168"/>
      <c r="O17" s="168">
        <f>35000-35000</f>
        <v>0</v>
      </c>
      <c r="P17" s="136"/>
      <c r="Q17" s="136">
        <f t="shared" si="0"/>
        <v>0</v>
      </c>
      <c r="R17" s="167">
        <f t="shared" si="1"/>
        <v>0</v>
      </c>
    </row>
    <row r="18" spans="1:18" hidden="1" x14ac:dyDescent="0.2">
      <c r="A18" t="s">
        <v>34</v>
      </c>
      <c r="D18" s="260">
        <f>+-30000+30000</f>
        <v>0</v>
      </c>
      <c r="E18" s="260"/>
      <c r="F18" s="260"/>
      <c r="G18" s="104"/>
      <c r="H18" s="260"/>
      <c r="I18" s="260"/>
      <c r="J18" s="260"/>
      <c r="K18" s="260"/>
      <c r="L18" s="260"/>
      <c r="M18" s="260"/>
      <c r="N18" s="260">
        <f>30000-30000</f>
        <v>0</v>
      </c>
      <c r="O18" s="260"/>
      <c r="P18" s="136"/>
      <c r="Q18" s="136">
        <f t="shared" si="0"/>
        <v>0</v>
      </c>
      <c r="R18" s="167">
        <f t="shared" si="1"/>
        <v>0</v>
      </c>
    </row>
    <row r="19" spans="1:18" hidden="1" x14ac:dyDescent="0.2">
      <c r="A19" t="s">
        <v>245</v>
      </c>
      <c r="D19" s="169">
        <v>0</v>
      </c>
      <c r="E19" s="169"/>
      <c r="F19" s="169"/>
      <c r="H19" s="136"/>
      <c r="I19" s="136"/>
      <c r="J19" s="136"/>
      <c r="K19" s="136"/>
      <c r="L19" s="136"/>
      <c r="M19" s="136">
        <v>0</v>
      </c>
      <c r="N19" s="136"/>
      <c r="O19" s="136"/>
      <c r="P19" s="136"/>
      <c r="Q19" s="136">
        <f t="shared" si="0"/>
        <v>0</v>
      </c>
      <c r="R19" s="167">
        <f t="shared" si="1"/>
        <v>0</v>
      </c>
    </row>
    <row r="20" spans="1:18" hidden="1" x14ac:dyDescent="0.2">
      <c r="A20" t="s">
        <v>247</v>
      </c>
      <c r="D20" s="168">
        <f>-20500+15000-2000+5500+2000</f>
        <v>0</v>
      </c>
      <c r="E20" s="168"/>
      <c r="F20" s="168"/>
      <c r="G20" s="101"/>
      <c r="H20" s="168"/>
      <c r="I20" s="168">
        <v>0</v>
      </c>
      <c r="J20" s="168">
        <v>0</v>
      </c>
      <c r="K20" s="168">
        <v>0</v>
      </c>
      <c r="L20" s="168">
        <v>0</v>
      </c>
      <c r="M20" s="168">
        <v>0</v>
      </c>
      <c r="N20" s="168">
        <f>2000-2000</f>
        <v>0</v>
      </c>
      <c r="O20" s="168"/>
      <c r="P20" s="168"/>
      <c r="Q20" s="136">
        <f t="shared" ref="Q20:Q26" si="2">SUM(H20:P20)</f>
        <v>0</v>
      </c>
      <c r="R20" s="167">
        <f t="shared" ref="R20:R26" si="3">+D20+Q20</f>
        <v>0</v>
      </c>
    </row>
    <row r="21" spans="1:18" hidden="1" x14ac:dyDescent="0.2">
      <c r="A21" t="s">
        <v>249</v>
      </c>
      <c r="D21" s="168">
        <v>0</v>
      </c>
      <c r="E21" s="168"/>
      <c r="F21" s="168"/>
      <c r="G21" s="101"/>
      <c r="H21" s="168"/>
      <c r="I21" s="168"/>
      <c r="J21" s="168"/>
      <c r="K21" s="168"/>
      <c r="L21" s="168"/>
      <c r="M21" s="168"/>
      <c r="N21" s="168"/>
      <c r="O21" s="168"/>
      <c r="P21" s="168"/>
      <c r="Q21" s="136">
        <f t="shared" si="2"/>
        <v>0</v>
      </c>
      <c r="R21" s="167">
        <f t="shared" si="3"/>
        <v>0</v>
      </c>
    </row>
    <row r="22" spans="1:18" hidden="1" x14ac:dyDescent="0.2">
      <c r="A22" s="150" t="s">
        <v>27</v>
      </c>
      <c r="D22" s="168">
        <f>-3000+2500+500</f>
        <v>0</v>
      </c>
      <c r="E22" s="168"/>
      <c r="F22" s="168"/>
      <c r="G22" s="101"/>
      <c r="H22" s="168"/>
      <c r="I22" s="168"/>
      <c r="J22" s="168">
        <v>0</v>
      </c>
      <c r="K22" s="168">
        <v>0</v>
      </c>
      <c r="L22" s="168"/>
      <c r="M22" s="168"/>
      <c r="N22" s="168"/>
      <c r="O22" s="168"/>
      <c r="P22" s="168"/>
      <c r="Q22" s="136">
        <f t="shared" si="2"/>
        <v>0</v>
      </c>
      <c r="R22" s="167">
        <f t="shared" si="3"/>
        <v>0</v>
      </c>
    </row>
    <row r="23" spans="1:18" hidden="1" x14ac:dyDescent="0.2">
      <c r="A23" t="s">
        <v>253</v>
      </c>
      <c r="D23" s="136">
        <f>-15000+15000</f>
        <v>0</v>
      </c>
      <c r="H23" s="136"/>
      <c r="I23" s="136"/>
      <c r="J23" s="136"/>
      <c r="K23" s="136"/>
      <c r="L23" s="136"/>
      <c r="M23" s="136"/>
      <c r="N23" s="136">
        <f>-15000+15000</f>
        <v>0</v>
      </c>
      <c r="O23" s="136"/>
      <c r="P23" s="136"/>
      <c r="Q23" s="136">
        <f t="shared" si="2"/>
        <v>0</v>
      </c>
      <c r="R23" s="167">
        <f t="shared" si="3"/>
        <v>0</v>
      </c>
    </row>
    <row r="24" spans="1:18" hidden="1" x14ac:dyDescent="0.2">
      <c r="A24" s="155" t="s">
        <v>250</v>
      </c>
      <c r="D24" s="168">
        <f>-30000+15000+15000</f>
        <v>0</v>
      </c>
      <c r="E24" s="168"/>
      <c r="F24" s="168"/>
      <c r="G24" s="101"/>
      <c r="H24" s="168"/>
      <c r="I24" s="168">
        <v>0</v>
      </c>
      <c r="J24" s="168"/>
      <c r="K24" s="168"/>
      <c r="L24" s="168"/>
      <c r="M24" s="168"/>
      <c r="N24" s="168"/>
      <c r="O24" s="168">
        <f>15000-15000</f>
        <v>0</v>
      </c>
      <c r="P24" s="168"/>
      <c r="Q24" s="136">
        <f t="shared" si="2"/>
        <v>0</v>
      </c>
      <c r="R24" s="167">
        <f t="shared" si="3"/>
        <v>0</v>
      </c>
    </row>
    <row r="25" spans="1:18" hidden="1" x14ac:dyDescent="0.2">
      <c r="A25" s="150" t="s">
        <v>251</v>
      </c>
      <c r="D25" s="168">
        <v>0</v>
      </c>
      <c r="E25" s="168"/>
      <c r="F25" s="168"/>
      <c r="G25" s="101"/>
      <c r="H25" s="168"/>
      <c r="I25" s="168">
        <v>0</v>
      </c>
      <c r="J25" s="168"/>
      <c r="K25" s="168"/>
      <c r="L25" s="168"/>
      <c r="M25" s="168"/>
      <c r="N25" s="168"/>
      <c r="O25" s="168"/>
      <c r="P25" s="168"/>
      <c r="Q25" s="136">
        <f t="shared" si="2"/>
        <v>0</v>
      </c>
      <c r="R25" s="167">
        <f t="shared" si="3"/>
        <v>0</v>
      </c>
    </row>
    <row r="26" spans="1:18" hidden="1" x14ac:dyDescent="0.2">
      <c r="D26" s="100"/>
      <c r="E26" s="100"/>
      <c r="F26" s="100"/>
      <c r="G26" s="2"/>
      <c r="H26" s="100"/>
      <c r="I26" s="100"/>
      <c r="J26" s="100"/>
      <c r="K26" s="100"/>
      <c r="L26" s="100"/>
      <c r="M26" s="100"/>
      <c r="N26" s="100"/>
      <c r="O26" s="100"/>
      <c r="P26" s="100"/>
      <c r="Q26" s="136">
        <f t="shared" si="2"/>
        <v>0</v>
      </c>
      <c r="R26" s="167">
        <f t="shared" si="3"/>
        <v>0</v>
      </c>
    </row>
    <row r="27" spans="1:18" x14ac:dyDescent="0.2">
      <c r="A27" t="s">
        <v>255</v>
      </c>
      <c r="F27" s="136">
        <v>-72841</v>
      </c>
    </row>
    <row r="30" spans="1:18" x14ac:dyDescent="0.2">
      <c r="D30" s="136">
        <f>SUM(D2:D29)</f>
        <v>11960123.405833181</v>
      </c>
      <c r="E30" s="136">
        <f>SUM(E2:E29)</f>
        <v>11826638.405833181</v>
      </c>
      <c r="F30" s="136">
        <f>SUM(F2:F29)</f>
        <v>11806882.405833181</v>
      </c>
      <c r="H30" s="136">
        <f t="shared" ref="H30:R30" si="4">SUM(H2:H29)</f>
        <v>0</v>
      </c>
      <c r="I30" s="136">
        <f t="shared" si="4"/>
        <v>0</v>
      </c>
      <c r="J30" s="136">
        <f t="shared" si="4"/>
        <v>0</v>
      </c>
      <c r="K30" s="136">
        <f t="shared" si="4"/>
        <v>0</v>
      </c>
      <c r="L30" s="136">
        <f t="shared" si="4"/>
        <v>0</v>
      </c>
      <c r="M30" s="136">
        <f t="shared" si="4"/>
        <v>0</v>
      </c>
      <c r="N30" s="136">
        <f t="shared" si="4"/>
        <v>0</v>
      </c>
      <c r="O30" s="136">
        <f t="shared" si="4"/>
        <v>0</v>
      </c>
      <c r="P30" s="136">
        <f t="shared" si="4"/>
        <v>0</v>
      </c>
      <c r="Q30" s="136">
        <f t="shared" si="4"/>
        <v>0</v>
      </c>
      <c r="R30" s="136">
        <f t="shared" si="4"/>
        <v>80400</v>
      </c>
    </row>
    <row r="31" spans="1:18" x14ac:dyDescent="0.2">
      <c r="Q31" s="167"/>
    </row>
    <row r="32" spans="1:18" x14ac:dyDescent="0.2">
      <c r="A32" t="s">
        <v>246</v>
      </c>
      <c r="D32" s="136">
        <f>+'[41]Proj Rev (2021)-3'!$H$24</f>
        <v>13359948.280000001</v>
      </c>
      <c r="E32" s="136">
        <f>+'[41]Proj Rev (2021)-3'!$H$24</f>
        <v>13359948.280000001</v>
      </c>
      <c r="F32" s="136">
        <f>+'[41]Proj Rev (2021)-3'!$H$24</f>
        <v>13359948.280000001</v>
      </c>
    </row>
    <row r="34" spans="1:6" x14ac:dyDescent="0.2">
      <c r="A34" t="s">
        <v>248</v>
      </c>
      <c r="D34" s="136">
        <f>+D32-D30</f>
        <v>1399824.8741668202</v>
      </c>
      <c r="E34" s="136">
        <f>+E32-E30</f>
        <v>1533309.8741668202</v>
      </c>
      <c r="F34" s="136">
        <f>+F32-F30</f>
        <v>1553065.8741668202</v>
      </c>
    </row>
  </sheetData>
  <mergeCells count="10"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</mergeCells>
  <pageMargins left="0.7" right="0.7" top="0.75" bottom="0.75" header="0.3" footer="0.3"/>
  <pageSetup scale="73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workbookViewId="0">
      <pane xSplit="4" ySplit="2" topLeftCell="E6" activePane="bottomRight" state="frozen"/>
      <selection activeCell="D46" sqref="D46:D48"/>
      <selection pane="topRight" activeCell="D46" sqref="D46:D48"/>
      <selection pane="bottomLeft" activeCell="D46" sqref="D46:D48"/>
      <selection pane="bottomRight" activeCell="D46" sqref="D46:D48"/>
    </sheetView>
  </sheetViews>
  <sheetFormatPr defaultRowHeight="12.75" x14ac:dyDescent="0.2"/>
  <cols>
    <col min="4" max="4" width="14" style="136" bestFit="1" customWidth="1"/>
    <col min="6" max="8" width="10.28515625" bestFit="1" customWidth="1"/>
    <col min="9" max="9" width="9.85546875" bestFit="1" customWidth="1"/>
    <col min="10" max="10" width="10.28515625" bestFit="1" customWidth="1"/>
    <col min="11" max="11" width="11.28515625" bestFit="1" customWidth="1"/>
    <col min="12" max="12" width="10.28515625" bestFit="1" customWidth="1"/>
    <col min="13" max="13" width="12.7109375" customWidth="1"/>
    <col min="14" max="14" width="10.140625" bestFit="1" customWidth="1"/>
    <col min="15" max="15" width="11.28515625" bestFit="1" customWidth="1"/>
    <col min="16" max="16" width="11.85546875" bestFit="1" customWidth="1"/>
  </cols>
  <sheetData>
    <row r="1" spans="1:16" x14ac:dyDescent="0.2">
      <c r="F1" s="342" t="s">
        <v>47</v>
      </c>
      <c r="G1" s="342" t="s">
        <v>237</v>
      </c>
      <c r="H1" s="342" t="s">
        <v>49</v>
      </c>
      <c r="I1" s="342" t="s">
        <v>50</v>
      </c>
      <c r="J1" s="342" t="s">
        <v>51</v>
      </c>
      <c r="K1" s="342" t="s">
        <v>53</v>
      </c>
      <c r="L1" s="342" t="s">
        <v>29</v>
      </c>
      <c r="M1" s="342" t="s">
        <v>28</v>
      </c>
      <c r="N1" s="342" t="s">
        <v>84</v>
      </c>
      <c r="O1" s="342" t="s">
        <v>79</v>
      </c>
    </row>
    <row r="2" spans="1:16" x14ac:dyDescent="0.2">
      <c r="A2" t="s">
        <v>239</v>
      </c>
      <c r="D2" s="136">
        <v>14362253</v>
      </c>
      <c r="F2" s="342"/>
      <c r="G2" s="342"/>
      <c r="H2" s="342"/>
      <c r="I2" s="342"/>
      <c r="J2" s="342"/>
      <c r="K2" s="342"/>
      <c r="L2" s="342"/>
      <c r="M2" s="342"/>
      <c r="N2" s="342"/>
      <c r="O2" s="342"/>
    </row>
    <row r="4" spans="1:16" x14ac:dyDescent="0.2">
      <c r="A4" t="s">
        <v>150</v>
      </c>
    </row>
    <row r="6" spans="1:16" x14ac:dyDescent="0.2">
      <c r="A6" t="s">
        <v>33</v>
      </c>
      <c r="D6" s="168">
        <v>-35000</v>
      </c>
      <c r="E6" s="101"/>
      <c r="F6" s="168"/>
      <c r="G6" s="168"/>
      <c r="H6" s="168"/>
      <c r="I6" s="168"/>
      <c r="J6" s="168"/>
      <c r="K6" s="168"/>
      <c r="L6" s="168"/>
      <c r="M6" s="168">
        <v>35000</v>
      </c>
      <c r="N6" s="136"/>
      <c r="O6" s="136">
        <v>35000</v>
      </c>
      <c r="P6" s="167">
        <f t="shared" ref="P6:P26" si="0">+D6+O6</f>
        <v>0</v>
      </c>
    </row>
    <row r="7" spans="1:16" x14ac:dyDescent="0.2">
      <c r="A7" t="s">
        <v>240</v>
      </c>
      <c r="D7" s="170">
        <v>-200000</v>
      </c>
      <c r="E7" s="101"/>
      <c r="F7" s="168"/>
      <c r="G7" s="168"/>
      <c r="H7" s="168"/>
      <c r="I7" s="168"/>
      <c r="J7" s="168"/>
      <c r="K7" s="168">
        <v>200000</v>
      </c>
      <c r="L7" s="168"/>
      <c r="M7" s="168"/>
      <c r="N7" s="136"/>
      <c r="O7" s="136">
        <v>150000</v>
      </c>
      <c r="P7" s="167">
        <f t="shared" si="0"/>
        <v>-50000</v>
      </c>
    </row>
    <row r="8" spans="1:16" x14ac:dyDescent="0.2">
      <c r="A8" t="s">
        <v>18</v>
      </c>
      <c r="D8" s="168">
        <v>-56500</v>
      </c>
      <c r="E8" s="101"/>
      <c r="F8" s="168"/>
      <c r="G8" s="168"/>
      <c r="H8" s="168">
        <v>6500</v>
      </c>
      <c r="I8" s="168"/>
      <c r="J8" s="168">
        <v>25000</v>
      </c>
      <c r="K8" s="168"/>
      <c r="L8" s="168"/>
      <c r="M8" s="168">
        <v>25000</v>
      </c>
      <c r="N8" s="136"/>
      <c r="O8" s="136">
        <v>56500</v>
      </c>
      <c r="P8" s="167">
        <f t="shared" si="0"/>
        <v>0</v>
      </c>
    </row>
    <row r="9" spans="1:16" x14ac:dyDescent="0.2">
      <c r="A9" t="s">
        <v>10</v>
      </c>
      <c r="D9" s="169">
        <v>-236500</v>
      </c>
      <c r="F9" s="136"/>
      <c r="G9" s="136"/>
      <c r="H9" s="136"/>
      <c r="I9" s="136"/>
      <c r="J9" s="136"/>
      <c r="K9" s="136">
        <v>236500</v>
      </c>
      <c r="L9" s="136"/>
      <c r="M9" s="136"/>
      <c r="N9" s="136"/>
      <c r="O9" s="136">
        <v>236500</v>
      </c>
      <c r="P9" s="167">
        <f t="shared" si="0"/>
        <v>0</v>
      </c>
    </row>
    <row r="10" spans="1:16" x14ac:dyDescent="0.2">
      <c r="A10" t="s">
        <v>26</v>
      </c>
      <c r="D10" s="136">
        <v>-56000</v>
      </c>
      <c r="F10" s="136"/>
      <c r="G10" s="136">
        <v>3000</v>
      </c>
      <c r="H10" s="136">
        <v>13000</v>
      </c>
      <c r="I10" s="136">
        <v>5000</v>
      </c>
      <c r="J10" s="136"/>
      <c r="K10" s="136"/>
      <c r="L10" s="136"/>
      <c r="M10" s="136">
        <v>25000</v>
      </c>
      <c r="N10" s="136">
        <v>10000</v>
      </c>
      <c r="O10" s="136">
        <v>56000</v>
      </c>
      <c r="P10" s="167">
        <f t="shared" si="0"/>
        <v>0</v>
      </c>
    </row>
    <row r="11" spans="1:16" x14ac:dyDescent="0.2">
      <c r="A11" t="s">
        <v>9</v>
      </c>
      <c r="D11" s="136">
        <v>0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>
        <v>0</v>
      </c>
      <c r="P11" s="167">
        <f t="shared" si="0"/>
        <v>0</v>
      </c>
    </row>
    <row r="12" spans="1:16" x14ac:dyDescent="0.2">
      <c r="A12" t="s">
        <v>88</v>
      </c>
      <c r="D12" s="168">
        <v>-42000</v>
      </c>
      <c r="E12" s="101"/>
      <c r="F12" s="168"/>
      <c r="G12" s="168"/>
      <c r="H12" s="168">
        <v>42000</v>
      </c>
      <c r="I12" s="168"/>
      <c r="J12" s="168"/>
      <c r="K12" s="168"/>
      <c r="L12" s="168"/>
      <c r="M12" s="168"/>
      <c r="N12" s="136"/>
      <c r="O12" s="136">
        <v>42000</v>
      </c>
      <c r="P12" s="167">
        <f t="shared" si="0"/>
        <v>0</v>
      </c>
    </row>
    <row r="13" spans="1:16" x14ac:dyDescent="0.2">
      <c r="A13" t="s">
        <v>242</v>
      </c>
      <c r="D13" s="168">
        <v>-50000</v>
      </c>
      <c r="E13" s="101"/>
      <c r="F13" s="168"/>
      <c r="G13" s="168">
        <v>10000</v>
      </c>
      <c r="H13" s="168"/>
      <c r="I13" s="168"/>
      <c r="J13" s="168"/>
      <c r="K13" s="168"/>
      <c r="L13" s="168"/>
      <c r="M13" s="168">
        <v>40000</v>
      </c>
      <c r="N13" s="136"/>
      <c r="O13" s="136">
        <v>50000</v>
      </c>
      <c r="P13" s="167">
        <f t="shared" si="0"/>
        <v>0</v>
      </c>
    </row>
    <row r="14" spans="1:16" x14ac:dyDescent="0.2">
      <c r="A14" t="s">
        <v>243</v>
      </c>
      <c r="D14" s="136">
        <v>0</v>
      </c>
      <c r="F14" s="136">
        <v>0</v>
      </c>
      <c r="G14" s="136"/>
      <c r="H14" s="136"/>
      <c r="I14" s="136"/>
      <c r="J14" s="136">
        <v>0</v>
      </c>
      <c r="K14" s="136"/>
      <c r="L14" s="136"/>
      <c r="M14" s="136"/>
      <c r="N14" s="136"/>
      <c r="O14" s="136">
        <v>0</v>
      </c>
      <c r="P14" s="167">
        <f t="shared" si="0"/>
        <v>0</v>
      </c>
    </row>
    <row r="15" spans="1:16" x14ac:dyDescent="0.2">
      <c r="A15" t="s">
        <v>244</v>
      </c>
      <c r="D15" s="168">
        <v>-20000</v>
      </c>
      <c r="E15" s="101"/>
      <c r="F15" s="168"/>
      <c r="G15" s="168"/>
      <c r="H15" s="168"/>
      <c r="I15" s="168"/>
      <c r="J15" s="168"/>
      <c r="K15" s="168"/>
      <c r="L15" s="168"/>
      <c r="M15" s="168"/>
      <c r="N15" s="168">
        <v>20000</v>
      </c>
      <c r="O15" s="136">
        <v>20000</v>
      </c>
      <c r="P15" s="167">
        <f t="shared" si="0"/>
        <v>0</v>
      </c>
    </row>
    <row r="16" spans="1:16" x14ac:dyDescent="0.2">
      <c r="A16" t="s">
        <v>241</v>
      </c>
      <c r="D16" s="168">
        <v>-50000</v>
      </c>
      <c r="E16" s="101"/>
      <c r="F16" s="168"/>
      <c r="G16" s="168"/>
      <c r="H16" s="168"/>
      <c r="I16" s="168"/>
      <c r="J16" s="168"/>
      <c r="K16" s="168"/>
      <c r="L16" s="168"/>
      <c r="M16" s="168">
        <v>50000</v>
      </c>
      <c r="N16" s="136"/>
      <c r="O16" s="136">
        <v>50000</v>
      </c>
      <c r="P16" s="167">
        <f t="shared" si="0"/>
        <v>0</v>
      </c>
    </row>
    <row r="17" spans="1:16" x14ac:dyDescent="0.2">
      <c r="A17" t="s">
        <v>14</v>
      </c>
      <c r="D17" s="168">
        <v>-35000</v>
      </c>
      <c r="E17" s="101"/>
      <c r="F17" s="168"/>
      <c r="G17" s="168"/>
      <c r="H17" s="168"/>
      <c r="I17" s="168"/>
      <c r="J17" s="168"/>
      <c r="K17" s="168"/>
      <c r="L17" s="168"/>
      <c r="M17" s="168">
        <v>35000</v>
      </c>
      <c r="N17" s="136"/>
      <c r="O17" s="136">
        <v>35000</v>
      </c>
      <c r="P17" s="167">
        <f t="shared" si="0"/>
        <v>0</v>
      </c>
    </row>
    <row r="18" spans="1:16" x14ac:dyDescent="0.2">
      <c r="A18" t="s">
        <v>34</v>
      </c>
      <c r="D18" s="260">
        <v>-30000</v>
      </c>
      <c r="E18" s="104"/>
      <c r="F18" s="260"/>
      <c r="G18" s="260"/>
      <c r="H18" s="260"/>
      <c r="I18" s="260"/>
      <c r="J18" s="260"/>
      <c r="K18" s="260"/>
      <c r="L18" s="260">
        <v>30000</v>
      </c>
      <c r="M18" s="260"/>
      <c r="N18" s="136"/>
      <c r="O18" s="136">
        <v>30000</v>
      </c>
      <c r="P18" s="167">
        <f t="shared" si="0"/>
        <v>0</v>
      </c>
    </row>
    <row r="19" spans="1:16" x14ac:dyDescent="0.2">
      <c r="A19" t="s">
        <v>245</v>
      </c>
      <c r="D19" s="169">
        <v>0</v>
      </c>
      <c r="F19" s="136"/>
      <c r="G19" s="136"/>
      <c r="H19" s="136"/>
      <c r="I19" s="136"/>
      <c r="J19" s="136"/>
      <c r="K19" s="136">
        <v>0</v>
      </c>
      <c r="L19" s="136"/>
      <c r="M19" s="136"/>
      <c r="N19" s="136"/>
      <c r="O19" s="136">
        <v>0</v>
      </c>
      <c r="P19" s="167">
        <f t="shared" si="0"/>
        <v>0</v>
      </c>
    </row>
    <row r="20" spans="1:16" x14ac:dyDescent="0.2">
      <c r="A20" t="s">
        <v>247</v>
      </c>
      <c r="D20" s="168">
        <v>-20500</v>
      </c>
      <c r="E20" s="101"/>
      <c r="F20" s="168"/>
      <c r="G20" s="168">
        <v>15000</v>
      </c>
      <c r="H20" s="168">
        <v>-2000</v>
      </c>
      <c r="I20" s="168">
        <v>0</v>
      </c>
      <c r="J20" s="168">
        <v>5500</v>
      </c>
      <c r="K20" s="168">
        <v>0</v>
      </c>
      <c r="L20" s="168">
        <v>2000</v>
      </c>
      <c r="M20" s="168"/>
      <c r="N20" s="168"/>
      <c r="O20" s="136">
        <v>20500</v>
      </c>
      <c r="P20" s="167">
        <f t="shared" si="0"/>
        <v>0</v>
      </c>
    </row>
    <row r="21" spans="1:16" x14ac:dyDescent="0.2">
      <c r="A21" t="s">
        <v>249</v>
      </c>
      <c r="D21" s="168">
        <v>0</v>
      </c>
      <c r="E21" s="101"/>
      <c r="F21" s="168"/>
      <c r="G21" s="168"/>
      <c r="H21" s="168"/>
      <c r="I21" s="168"/>
      <c r="J21" s="168"/>
      <c r="K21" s="168"/>
      <c r="L21" s="168"/>
      <c r="M21" s="168"/>
      <c r="N21" s="168"/>
      <c r="O21" s="136">
        <v>0</v>
      </c>
      <c r="P21" s="167">
        <f t="shared" si="0"/>
        <v>0</v>
      </c>
    </row>
    <row r="22" spans="1:16" x14ac:dyDescent="0.2">
      <c r="A22" s="150" t="s">
        <v>27</v>
      </c>
      <c r="D22" s="168">
        <v>-3000</v>
      </c>
      <c r="E22" s="101"/>
      <c r="F22" s="168"/>
      <c r="G22" s="168"/>
      <c r="H22" s="168">
        <v>2500</v>
      </c>
      <c r="I22" s="168">
        <v>500</v>
      </c>
      <c r="J22" s="168"/>
      <c r="K22" s="168"/>
      <c r="L22" s="168"/>
      <c r="M22" s="168"/>
      <c r="N22" s="168"/>
      <c r="O22" s="136">
        <v>3000</v>
      </c>
      <c r="P22" s="167">
        <f t="shared" si="0"/>
        <v>0</v>
      </c>
    </row>
    <row r="23" spans="1:16" x14ac:dyDescent="0.2">
      <c r="A23" t="s">
        <v>253</v>
      </c>
      <c r="D23" s="136">
        <v>-15000</v>
      </c>
      <c r="F23" s="136"/>
      <c r="G23" s="136"/>
      <c r="H23" s="136"/>
      <c r="I23" s="136"/>
      <c r="J23" s="136"/>
      <c r="K23" s="136"/>
      <c r="L23" s="136">
        <v>15000</v>
      </c>
      <c r="M23" s="136"/>
      <c r="N23" s="136"/>
      <c r="O23" s="136">
        <f t="shared" ref="O23" si="1">SUM(F23:N23)</f>
        <v>15000</v>
      </c>
      <c r="P23" s="167">
        <f t="shared" si="0"/>
        <v>0</v>
      </c>
    </row>
    <row r="24" spans="1:16" x14ac:dyDescent="0.2">
      <c r="A24" s="155" t="s">
        <v>250</v>
      </c>
      <c r="D24" s="168">
        <v>-30000</v>
      </c>
      <c r="E24" s="101"/>
      <c r="F24" s="168"/>
      <c r="G24" s="168">
        <v>15000</v>
      </c>
      <c r="H24" s="168"/>
      <c r="I24" s="168"/>
      <c r="J24" s="168"/>
      <c r="K24" s="168"/>
      <c r="L24" s="168"/>
      <c r="M24" s="168">
        <v>15000</v>
      </c>
      <c r="N24" s="168"/>
      <c r="O24" s="136">
        <v>30000</v>
      </c>
      <c r="P24" s="167">
        <f t="shared" si="0"/>
        <v>0</v>
      </c>
    </row>
    <row r="25" spans="1:16" x14ac:dyDescent="0.2">
      <c r="A25" s="150" t="s">
        <v>251</v>
      </c>
      <c r="D25" s="168">
        <v>-5000</v>
      </c>
      <c r="E25" s="101"/>
      <c r="F25" s="168"/>
      <c r="G25" s="168">
        <v>5000</v>
      </c>
      <c r="H25" s="168"/>
      <c r="I25" s="168"/>
      <c r="J25" s="168"/>
      <c r="K25" s="168"/>
      <c r="L25" s="168"/>
      <c r="M25" s="168"/>
      <c r="N25" s="168"/>
      <c r="O25" s="136">
        <v>5000</v>
      </c>
      <c r="P25" s="167">
        <f t="shared" si="0"/>
        <v>0</v>
      </c>
    </row>
    <row r="26" spans="1:16" x14ac:dyDescent="0.2">
      <c r="D26" s="100"/>
      <c r="E26" s="2"/>
      <c r="F26" s="100"/>
      <c r="G26" s="100"/>
      <c r="H26" s="100"/>
      <c r="I26" s="100"/>
      <c r="J26" s="100"/>
      <c r="K26" s="100"/>
      <c r="L26" s="100"/>
      <c r="M26" s="100"/>
      <c r="N26" s="100"/>
      <c r="O26" s="136">
        <f t="shared" ref="O26" si="2">SUM(F26:N26)</f>
        <v>0</v>
      </c>
      <c r="P26" s="167">
        <f t="shared" si="0"/>
        <v>0</v>
      </c>
    </row>
    <row r="30" spans="1:16" x14ac:dyDescent="0.2">
      <c r="D30" s="136">
        <f>SUM(D2:D29)</f>
        <v>13477753</v>
      </c>
      <c r="F30" s="136">
        <f t="shared" ref="F30:P30" si="3">SUM(F2:F29)</f>
        <v>0</v>
      </c>
      <c r="G30" s="136">
        <f t="shared" si="3"/>
        <v>48000</v>
      </c>
      <c r="H30" s="136">
        <f t="shared" si="3"/>
        <v>62000</v>
      </c>
      <c r="I30" s="136">
        <f t="shared" si="3"/>
        <v>5500</v>
      </c>
      <c r="J30" s="136">
        <f t="shared" si="3"/>
        <v>30500</v>
      </c>
      <c r="K30" s="136">
        <f t="shared" si="3"/>
        <v>436500</v>
      </c>
      <c r="L30" s="136">
        <f t="shared" si="3"/>
        <v>47000</v>
      </c>
      <c r="M30" s="136">
        <f t="shared" si="3"/>
        <v>225000</v>
      </c>
      <c r="N30" s="136">
        <f t="shared" si="3"/>
        <v>30000</v>
      </c>
      <c r="O30" s="136">
        <f t="shared" si="3"/>
        <v>834500</v>
      </c>
      <c r="P30" s="136">
        <f t="shared" si="3"/>
        <v>-50000</v>
      </c>
    </row>
    <row r="31" spans="1:16" x14ac:dyDescent="0.2">
      <c r="O31" s="167"/>
    </row>
    <row r="32" spans="1:16" x14ac:dyDescent="0.2">
      <c r="A32" t="s">
        <v>246</v>
      </c>
      <c r="D32" s="136">
        <f>+'[41]Proj Rev (2021)-3'!$H$24</f>
        <v>13359948.280000001</v>
      </c>
    </row>
    <row r="34" spans="1:4" x14ac:dyDescent="0.2">
      <c r="A34" t="s">
        <v>248</v>
      </c>
      <c r="D34" s="136">
        <f>+D32-D30</f>
        <v>-117804.71999999881</v>
      </c>
    </row>
  </sheetData>
  <mergeCells count="10"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73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workbookViewId="0">
      <pane xSplit="4" ySplit="2" topLeftCell="E3" activePane="bottomRight" state="frozen"/>
      <selection activeCell="D46" sqref="D46:D48"/>
      <selection pane="topRight" activeCell="D46" sqref="D46:D48"/>
      <selection pane="bottomLeft" activeCell="D46" sqref="D46:D48"/>
      <selection pane="bottomRight" activeCell="D46" sqref="D46:D48"/>
    </sheetView>
  </sheetViews>
  <sheetFormatPr defaultRowHeight="12.75" x14ac:dyDescent="0.2"/>
  <cols>
    <col min="4" max="4" width="14" style="136" bestFit="1" customWidth="1"/>
    <col min="6" max="8" width="10.28515625" bestFit="1" customWidth="1"/>
    <col min="9" max="9" width="9.85546875" bestFit="1" customWidth="1"/>
    <col min="10" max="10" width="10.28515625" bestFit="1" customWidth="1"/>
    <col min="11" max="11" width="11.28515625" bestFit="1" customWidth="1"/>
    <col min="12" max="12" width="10.28515625" bestFit="1" customWidth="1"/>
    <col min="13" max="13" width="12.7109375" customWidth="1"/>
    <col min="14" max="14" width="10.140625" bestFit="1" customWidth="1"/>
    <col min="15" max="15" width="11.28515625" bestFit="1" customWidth="1"/>
    <col min="16" max="16" width="11.85546875" bestFit="1" customWidth="1"/>
  </cols>
  <sheetData>
    <row r="1" spans="1:16" x14ac:dyDescent="0.2">
      <c r="F1" s="342" t="s">
        <v>47</v>
      </c>
      <c r="G1" s="342" t="s">
        <v>237</v>
      </c>
      <c r="H1" s="342" t="s">
        <v>49</v>
      </c>
      <c r="I1" s="342" t="s">
        <v>50</v>
      </c>
      <c r="J1" s="342" t="s">
        <v>51</v>
      </c>
      <c r="K1" s="342" t="s">
        <v>53</v>
      </c>
      <c r="L1" s="342" t="s">
        <v>29</v>
      </c>
      <c r="M1" s="342" t="s">
        <v>28</v>
      </c>
      <c r="N1" s="342" t="s">
        <v>84</v>
      </c>
      <c r="O1" s="342" t="s">
        <v>79</v>
      </c>
    </row>
    <row r="2" spans="1:16" x14ac:dyDescent="0.2">
      <c r="A2" t="s">
        <v>239</v>
      </c>
      <c r="D2" s="136">
        <v>14342497</v>
      </c>
      <c r="F2" s="342"/>
      <c r="G2" s="342"/>
      <c r="H2" s="342"/>
      <c r="I2" s="342"/>
      <c r="J2" s="342"/>
      <c r="K2" s="342"/>
      <c r="L2" s="342"/>
      <c r="M2" s="342"/>
      <c r="N2" s="342"/>
      <c r="O2" s="342"/>
    </row>
    <row r="4" spans="1:16" x14ac:dyDescent="0.2">
      <c r="A4" t="s">
        <v>150</v>
      </c>
    </row>
    <row r="6" spans="1:16" x14ac:dyDescent="0.2">
      <c r="A6" t="s">
        <v>33</v>
      </c>
      <c r="D6" s="168">
        <v>-35000</v>
      </c>
      <c r="E6" s="101"/>
      <c r="F6" s="168"/>
      <c r="G6" s="168"/>
      <c r="H6" s="168"/>
      <c r="I6" s="168"/>
      <c r="J6" s="168"/>
      <c r="K6" s="168"/>
      <c r="L6" s="168"/>
      <c r="M6" s="168">
        <v>35000</v>
      </c>
      <c r="N6" s="136"/>
      <c r="O6" s="136">
        <v>35000</v>
      </c>
      <c r="P6" s="167">
        <f t="shared" ref="P6:P26" si="0">+D6+O6</f>
        <v>0</v>
      </c>
    </row>
    <row r="7" spans="1:16" x14ac:dyDescent="0.2">
      <c r="A7" t="s">
        <v>240</v>
      </c>
      <c r="D7" s="170">
        <v>-200000</v>
      </c>
      <c r="E7" s="101"/>
      <c r="F7" s="168"/>
      <c r="G7" s="168"/>
      <c r="H7" s="168"/>
      <c r="I7" s="168"/>
      <c r="J7" s="168"/>
      <c r="K7" s="168">
        <v>200000</v>
      </c>
      <c r="L7" s="168"/>
      <c r="M7" s="168"/>
      <c r="N7" s="136"/>
      <c r="O7" s="136">
        <v>150000</v>
      </c>
      <c r="P7" s="167">
        <f t="shared" si="0"/>
        <v>-50000</v>
      </c>
    </row>
    <row r="8" spans="1:16" x14ac:dyDescent="0.2">
      <c r="A8" t="s">
        <v>18</v>
      </c>
      <c r="D8" s="168">
        <v>-56500</v>
      </c>
      <c r="E8" s="101"/>
      <c r="F8" s="168"/>
      <c r="G8" s="168"/>
      <c r="H8" s="168">
        <v>6500</v>
      </c>
      <c r="I8" s="168"/>
      <c r="J8" s="168">
        <v>25000</v>
      </c>
      <c r="K8" s="168"/>
      <c r="L8" s="168"/>
      <c r="M8" s="168">
        <v>25000</v>
      </c>
      <c r="N8" s="136"/>
      <c r="O8" s="136">
        <v>56500</v>
      </c>
      <c r="P8" s="167">
        <f t="shared" si="0"/>
        <v>0</v>
      </c>
    </row>
    <row r="9" spans="1:16" x14ac:dyDescent="0.2">
      <c r="A9" t="s">
        <v>10</v>
      </c>
      <c r="D9" s="169">
        <v>-236500</v>
      </c>
      <c r="F9" s="136"/>
      <c r="G9" s="136"/>
      <c r="H9" s="136"/>
      <c r="I9" s="136"/>
      <c r="J9" s="136"/>
      <c r="K9" s="136">
        <v>236500</v>
      </c>
      <c r="L9" s="136"/>
      <c r="M9" s="136"/>
      <c r="N9" s="136"/>
      <c r="O9" s="136">
        <v>236500</v>
      </c>
      <c r="P9" s="167">
        <f t="shared" si="0"/>
        <v>0</v>
      </c>
    </row>
    <row r="10" spans="1:16" x14ac:dyDescent="0.2">
      <c r="A10" t="s">
        <v>26</v>
      </c>
      <c r="D10" s="136">
        <f>-56000+3000</f>
        <v>-53000</v>
      </c>
      <c r="F10" s="136"/>
      <c r="G10" s="136">
        <v>3000</v>
      </c>
      <c r="H10" s="136">
        <v>13000</v>
      </c>
      <c r="I10" s="136">
        <v>5000</v>
      </c>
      <c r="J10" s="136"/>
      <c r="K10" s="136"/>
      <c r="L10" s="136"/>
      <c r="M10" s="136">
        <v>25000</v>
      </c>
      <c r="N10" s="136">
        <v>10000</v>
      </c>
      <c r="O10" s="136">
        <v>56000</v>
      </c>
      <c r="P10" s="167">
        <f t="shared" si="0"/>
        <v>3000</v>
      </c>
    </row>
    <row r="11" spans="1:16" x14ac:dyDescent="0.2">
      <c r="A11" t="s">
        <v>9</v>
      </c>
      <c r="D11" s="136">
        <v>0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>
        <v>0</v>
      </c>
      <c r="P11" s="167">
        <f t="shared" si="0"/>
        <v>0</v>
      </c>
    </row>
    <row r="12" spans="1:16" x14ac:dyDescent="0.2">
      <c r="A12" t="s">
        <v>88</v>
      </c>
      <c r="D12" s="168">
        <v>-42000</v>
      </c>
      <c r="E12" s="101"/>
      <c r="F12" s="168"/>
      <c r="G12" s="168"/>
      <c r="H12" s="168">
        <v>42000</v>
      </c>
      <c r="I12" s="168"/>
      <c r="J12" s="168"/>
      <c r="K12" s="168"/>
      <c r="L12" s="168"/>
      <c r="M12" s="168"/>
      <c r="N12" s="136"/>
      <c r="O12" s="136">
        <v>42000</v>
      </c>
      <c r="P12" s="167">
        <f t="shared" si="0"/>
        <v>0</v>
      </c>
    </row>
    <row r="13" spans="1:16" x14ac:dyDescent="0.2">
      <c r="A13" t="s">
        <v>242</v>
      </c>
      <c r="D13" s="168">
        <f>-50000+10000</f>
        <v>-40000</v>
      </c>
      <c r="E13" s="101"/>
      <c r="F13" s="168"/>
      <c r="G13" s="168">
        <v>10000</v>
      </c>
      <c r="H13" s="168"/>
      <c r="I13" s="168"/>
      <c r="J13" s="168"/>
      <c r="K13" s="168"/>
      <c r="L13" s="168"/>
      <c r="M13" s="168">
        <v>40000</v>
      </c>
      <c r="N13" s="136"/>
      <c r="O13" s="136">
        <v>50000</v>
      </c>
      <c r="P13" s="167">
        <f t="shared" si="0"/>
        <v>10000</v>
      </c>
    </row>
    <row r="14" spans="1:16" x14ac:dyDescent="0.2">
      <c r="A14" t="s">
        <v>243</v>
      </c>
      <c r="D14" s="136">
        <v>0</v>
      </c>
      <c r="F14" s="136">
        <v>0</v>
      </c>
      <c r="G14" s="136"/>
      <c r="H14" s="136"/>
      <c r="I14" s="136"/>
      <c r="J14" s="136">
        <v>0</v>
      </c>
      <c r="K14" s="136"/>
      <c r="L14" s="136"/>
      <c r="M14" s="136"/>
      <c r="N14" s="136"/>
      <c r="O14" s="136">
        <v>0</v>
      </c>
      <c r="P14" s="167">
        <f t="shared" si="0"/>
        <v>0</v>
      </c>
    </row>
    <row r="15" spans="1:16" x14ac:dyDescent="0.2">
      <c r="A15" t="s">
        <v>244</v>
      </c>
      <c r="D15" s="168">
        <v>-20000</v>
      </c>
      <c r="E15" s="101"/>
      <c r="F15" s="168"/>
      <c r="G15" s="168"/>
      <c r="H15" s="168"/>
      <c r="I15" s="168"/>
      <c r="J15" s="168"/>
      <c r="K15" s="168"/>
      <c r="L15" s="168"/>
      <c r="M15" s="168"/>
      <c r="N15" s="168">
        <v>20000</v>
      </c>
      <c r="O15" s="136">
        <v>20000</v>
      </c>
      <c r="P15" s="167">
        <f t="shared" si="0"/>
        <v>0</v>
      </c>
    </row>
    <row r="16" spans="1:16" x14ac:dyDescent="0.2">
      <c r="A16" t="s">
        <v>241</v>
      </c>
      <c r="D16" s="168">
        <v>-50000</v>
      </c>
      <c r="E16" s="101"/>
      <c r="F16" s="168"/>
      <c r="G16" s="168"/>
      <c r="H16" s="168"/>
      <c r="I16" s="168"/>
      <c r="J16" s="168"/>
      <c r="K16" s="168"/>
      <c r="L16" s="168"/>
      <c r="M16" s="168">
        <v>50000</v>
      </c>
      <c r="N16" s="136"/>
      <c r="O16" s="136">
        <v>50000</v>
      </c>
      <c r="P16" s="167">
        <f t="shared" si="0"/>
        <v>0</v>
      </c>
    </row>
    <row r="17" spans="1:16" x14ac:dyDescent="0.2">
      <c r="A17" t="s">
        <v>14</v>
      </c>
      <c r="D17" s="168">
        <v>-35000</v>
      </c>
      <c r="E17" s="101"/>
      <c r="F17" s="168"/>
      <c r="G17" s="168"/>
      <c r="H17" s="168"/>
      <c r="I17" s="168"/>
      <c r="J17" s="168"/>
      <c r="K17" s="168"/>
      <c r="L17" s="168"/>
      <c r="M17" s="168">
        <v>35000</v>
      </c>
      <c r="N17" s="136"/>
      <c r="O17" s="136">
        <v>35000</v>
      </c>
      <c r="P17" s="167">
        <f t="shared" si="0"/>
        <v>0</v>
      </c>
    </row>
    <row r="18" spans="1:16" x14ac:dyDescent="0.2">
      <c r="A18" t="s">
        <v>34</v>
      </c>
      <c r="D18" s="260">
        <v>-30000</v>
      </c>
      <c r="E18" s="104"/>
      <c r="F18" s="260"/>
      <c r="G18" s="260"/>
      <c r="H18" s="260"/>
      <c r="I18" s="260"/>
      <c r="J18" s="260"/>
      <c r="K18" s="260"/>
      <c r="L18" s="260">
        <v>30000</v>
      </c>
      <c r="M18" s="260"/>
      <c r="N18" s="136"/>
      <c r="O18" s="136">
        <v>30000</v>
      </c>
      <c r="P18" s="167">
        <f t="shared" si="0"/>
        <v>0</v>
      </c>
    </row>
    <row r="19" spans="1:16" x14ac:dyDescent="0.2">
      <c r="A19" t="s">
        <v>245</v>
      </c>
      <c r="D19" s="169">
        <v>0</v>
      </c>
      <c r="F19" s="136"/>
      <c r="G19" s="136"/>
      <c r="H19" s="136"/>
      <c r="I19" s="136"/>
      <c r="J19" s="136"/>
      <c r="K19" s="136">
        <v>0</v>
      </c>
      <c r="L19" s="136"/>
      <c r="M19" s="136"/>
      <c r="N19" s="136"/>
      <c r="O19" s="136">
        <v>0</v>
      </c>
      <c r="P19" s="167">
        <f t="shared" si="0"/>
        <v>0</v>
      </c>
    </row>
    <row r="20" spans="1:16" x14ac:dyDescent="0.2">
      <c r="A20" t="s">
        <v>247</v>
      </c>
      <c r="D20" s="168">
        <f>-20500+15000</f>
        <v>-5500</v>
      </c>
      <c r="E20" s="101"/>
      <c r="F20" s="168"/>
      <c r="G20" s="168">
        <v>15000</v>
      </c>
      <c r="H20" s="168">
        <v>-2000</v>
      </c>
      <c r="I20" s="168">
        <v>0</v>
      </c>
      <c r="J20" s="168">
        <v>5500</v>
      </c>
      <c r="K20" s="168">
        <v>0</v>
      </c>
      <c r="L20" s="168">
        <v>2000</v>
      </c>
      <c r="M20" s="168"/>
      <c r="N20" s="168"/>
      <c r="O20" s="136">
        <v>20500</v>
      </c>
      <c r="P20" s="167">
        <f t="shared" si="0"/>
        <v>15000</v>
      </c>
    </row>
    <row r="21" spans="1:16" x14ac:dyDescent="0.2">
      <c r="A21" t="s">
        <v>249</v>
      </c>
      <c r="D21" s="168">
        <v>0</v>
      </c>
      <c r="E21" s="101"/>
      <c r="F21" s="168"/>
      <c r="G21" s="168"/>
      <c r="H21" s="168"/>
      <c r="I21" s="168"/>
      <c r="J21" s="168"/>
      <c r="K21" s="168"/>
      <c r="L21" s="168"/>
      <c r="M21" s="168"/>
      <c r="N21" s="168"/>
      <c r="O21" s="136">
        <v>0</v>
      </c>
      <c r="P21" s="167">
        <f t="shared" si="0"/>
        <v>0</v>
      </c>
    </row>
    <row r="22" spans="1:16" x14ac:dyDescent="0.2">
      <c r="A22" s="150" t="s">
        <v>27</v>
      </c>
      <c r="D22" s="168">
        <v>-3000</v>
      </c>
      <c r="E22" s="101"/>
      <c r="F22" s="168"/>
      <c r="G22" s="168"/>
      <c r="H22" s="168">
        <v>2500</v>
      </c>
      <c r="I22" s="168">
        <v>500</v>
      </c>
      <c r="J22" s="168"/>
      <c r="K22" s="168"/>
      <c r="L22" s="168"/>
      <c r="M22" s="168"/>
      <c r="N22" s="168"/>
      <c r="O22" s="136">
        <v>3000</v>
      </c>
      <c r="P22" s="167">
        <f t="shared" si="0"/>
        <v>0</v>
      </c>
    </row>
    <row r="23" spans="1:16" x14ac:dyDescent="0.2">
      <c r="A23" t="s">
        <v>253</v>
      </c>
      <c r="D23" s="136">
        <v>-15000</v>
      </c>
      <c r="F23" s="136"/>
      <c r="G23" s="136"/>
      <c r="H23" s="136"/>
      <c r="I23" s="136"/>
      <c r="J23" s="136"/>
      <c r="K23" s="136"/>
      <c r="L23" s="136">
        <v>15000</v>
      </c>
      <c r="M23" s="136"/>
      <c r="N23" s="136"/>
      <c r="O23" s="136">
        <f t="shared" ref="O23" si="1">SUM(F23:N23)</f>
        <v>15000</v>
      </c>
      <c r="P23" s="167">
        <f t="shared" si="0"/>
        <v>0</v>
      </c>
    </row>
    <row r="24" spans="1:16" x14ac:dyDescent="0.2">
      <c r="A24" s="155" t="s">
        <v>250</v>
      </c>
      <c r="D24" s="168">
        <f>-30000+15000</f>
        <v>-15000</v>
      </c>
      <c r="E24" s="101"/>
      <c r="F24" s="168"/>
      <c r="G24" s="168">
        <v>15000</v>
      </c>
      <c r="H24" s="168"/>
      <c r="I24" s="168"/>
      <c r="J24" s="168"/>
      <c r="K24" s="168"/>
      <c r="L24" s="168"/>
      <c r="M24" s="168">
        <v>15000</v>
      </c>
      <c r="N24" s="168"/>
      <c r="O24" s="136">
        <v>30000</v>
      </c>
      <c r="P24" s="167">
        <f t="shared" si="0"/>
        <v>15000</v>
      </c>
    </row>
    <row r="25" spans="1:16" x14ac:dyDescent="0.2">
      <c r="A25" s="150" t="s">
        <v>251</v>
      </c>
      <c r="D25" s="168">
        <v>-5000</v>
      </c>
      <c r="E25" s="101"/>
      <c r="F25" s="168"/>
      <c r="G25" s="168">
        <v>5000</v>
      </c>
      <c r="H25" s="168"/>
      <c r="I25" s="168"/>
      <c r="J25" s="168"/>
      <c r="K25" s="168"/>
      <c r="L25" s="168"/>
      <c r="M25" s="168"/>
      <c r="N25" s="168"/>
      <c r="O25" s="136">
        <v>5000</v>
      </c>
      <c r="P25" s="167">
        <f t="shared" si="0"/>
        <v>0</v>
      </c>
    </row>
    <row r="26" spans="1:16" x14ac:dyDescent="0.2">
      <c r="D26" s="100"/>
      <c r="E26" s="2"/>
      <c r="F26" s="100"/>
      <c r="G26" s="100"/>
      <c r="H26" s="100"/>
      <c r="I26" s="100"/>
      <c r="J26" s="100"/>
      <c r="K26" s="100"/>
      <c r="L26" s="100"/>
      <c r="M26" s="100"/>
      <c r="N26" s="100"/>
      <c r="O26" s="136">
        <f t="shared" ref="O26" si="2">SUM(F26:N26)</f>
        <v>0</v>
      </c>
      <c r="P26" s="167">
        <f t="shared" si="0"/>
        <v>0</v>
      </c>
    </row>
    <row r="30" spans="1:16" x14ac:dyDescent="0.2">
      <c r="D30" s="136">
        <f>SUM(D2:D29)</f>
        <v>13500997</v>
      </c>
      <c r="F30" s="136">
        <f t="shared" ref="F30:P30" si="3">SUM(F2:F29)</f>
        <v>0</v>
      </c>
      <c r="G30" s="136">
        <f t="shared" si="3"/>
        <v>48000</v>
      </c>
      <c r="H30" s="136">
        <f t="shared" si="3"/>
        <v>62000</v>
      </c>
      <c r="I30" s="136">
        <f t="shared" si="3"/>
        <v>5500</v>
      </c>
      <c r="J30" s="136">
        <f t="shared" si="3"/>
        <v>30500</v>
      </c>
      <c r="K30" s="136">
        <f t="shared" si="3"/>
        <v>436500</v>
      </c>
      <c r="L30" s="136">
        <f t="shared" si="3"/>
        <v>47000</v>
      </c>
      <c r="M30" s="136">
        <f t="shared" si="3"/>
        <v>225000</v>
      </c>
      <c r="N30" s="136">
        <f t="shared" si="3"/>
        <v>30000</v>
      </c>
      <c r="O30" s="136">
        <f t="shared" si="3"/>
        <v>834500</v>
      </c>
      <c r="P30" s="136">
        <f t="shared" si="3"/>
        <v>-7000</v>
      </c>
    </row>
    <row r="31" spans="1:16" x14ac:dyDescent="0.2">
      <c r="O31" s="167"/>
    </row>
    <row r="32" spans="1:16" x14ac:dyDescent="0.2">
      <c r="A32" t="s">
        <v>246</v>
      </c>
      <c r="D32" s="136">
        <f>+'[41]Proj Rev (2021)-3'!$H$24</f>
        <v>13359948.280000001</v>
      </c>
    </row>
    <row r="34" spans="1:4" x14ac:dyDescent="0.2">
      <c r="A34" t="s">
        <v>248</v>
      </c>
      <c r="D34" s="136">
        <f>+D32-D30</f>
        <v>-141048.71999999881</v>
      </c>
    </row>
  </sheetData>
  <mergeCells count="10"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73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H23" sqref="H23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24" t="s">
        <v>103</v>
      </c>
      <c r="D11" s="325"/>
      <c r="E11" s="326"/>
      <c r="F11" s="324" t="s">
        <v>104</v>
      </c>
      <c r="G11" s="325"/>
      <c r="H11" s="326"/>
      <c r="I11" s="324" t="s">
        <v>105</v>
      </c>
      <c r="J11" s="325"/>
      <c r="K11" s="326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685536.81446250004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30704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83457.826252392944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799698.640714893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4695698.6407148931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27" t="s">
        <v>119</v>
      </c>
      <c r="J31" s="328"/>
      <c r="K31" s="328"/>
      <c r="L31" s="328"/>
      <c r="M31" s="329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0</v>
      </c>
      <c r="D33" s="61">
        <f t="shared" ref="D33:E37" si="3">+K33*1.01</f>
        <v>0</v>
      </c>
      <c r="E33" s="61">
        <f t="shared" si="3"/>
        <v>0</v>
      </c>
      <c r="F33" s="61">
        <f>SUM(C33:E33)</f>
        <v>0</v>
      </c>
      <c r="G33" s="71"/>
      <c r="I33" s="70" t="s">
        <v>124</v>
      </c>
      <c r="J33" s="61">
        <v>0</v>
      </c>
      <c r="K33" s="61">
        <v>0</v>
      </c>
      <c r="L33" s="61">
        <v>0</v>
      </c>
      <c r="M33" s="61">
        <f>SUM(J33:L33)</f>
        <v>0</v>
      </c>
    </row>
    <row r="34" spans="1:14" x14ac:dyDescent="0.25">
      <c r="A34" s="69"/>
      <c r="B34" s="70" t="s">
        <v>48</v>
      </c>
      <c r="C34" s="61">
        <f t="shared" ref="C34:C37" si="4">+J34*1.01</f>
        <v>0</v>
      </c>
      <c r="D34" s="61">
        <f t="shared" si="3"/>
        <v>0</v>
      </c>
      <c r="E34" s="61">
        <f t="shared" si="3"/>
        <v>0</v>
      </c>
      <c r="F34" s="61">
        <f t="shared" ref="F34:F37" si="5">SUM(C34:E34)</f>
        <v>0</v>
      </c>
      <c r="G34" s="71"/>
      <c r="I34" s="70" t="s">
        <v>48</v>
      </c>
      <c r="J34" s="61">
        <v>0</v>
      </c>
      <c r="K34" s="61">
        <v>0</v>
      </c>
      <c r="L34" s="61">
        <v>0</v>
      </c>
      <c r="M34" s="61">
        <f t="shared" ref="M34:M37" si="6">SUM(J34:L34)</f>
        <v>0</v>
      </c>
    </row>
    <row r="35" spans="1:14" s="72" customFormat="1" x14ac:dyDescent="0.25">
      <c r="A35" s="69"/>
      <c r="B35" s="70" t="s">
        <v>49</v>
      </c>
      <c r="C35" s="61">
        <f t="shared" si="4"/>
        <v>0</v>
      </c>
      <c r="D35" s="61">
        <f t="shared" si="3"/>
        <v>0</v>
      </c>
      <c r="E35" s="61">
        <f t="shared" si="3"/>
        <v>0</v>
      </c>
      <c r="F35" s="61">
        <f t="shared" si="5"/>
        <v>0</v>
      </c>
      <c r="I35" s="70" t="s">
        <v>49</v>
      </c>
      <c r="J35" s="61">
        <v>0</v>
      </c>
      <c r="K35" s="61">
        <v>0</v>
      </c>
      <c r="L35" s="61">
        <v>0</v>
      </c>
      <c r="M35" s="61">
        <f t="shared" si="6"/>
        <v>0</v>
      </c>
    </row>
    <row r="36" spans="1:14" x14ac:dyDescent="0.25">
      <c r="A36" s="69"/>
      <c r="B36" s="70" t="s">
        <v>50</v>
      </c>
      <c r="C36" s="61">
        <f t="shared" si="4"/>
        <v>225.23</v>
      </c>
      <c r="D36" s="61">
        <f t="shared" si="3"/>
        <v>220.18</v>
      </c>
      <c r="E36" s="61">
        <f t="shared" si="3"/>
        <v>168.67</v>
      </c>
      <c r="F36" s="61">
        <f t="shared" si="5"/>
        <v>614.07999999999993</v>
      </c>
      <c r="G36" s="71"/>
      <c r="I36" s="70" t="s">
        <v>50</v>
      </c>
      <c r="J36" s="61">
        <v>223</v>
      </c>
      <c r="K36" s="61">
        <v>218</v>
      </c>
      <c r="L36" s="61">
        <v>167</v>
      </c>
      <c r="M36" s="61">
        <f t="shared" si="6"/>
        <v>608</v>
      </c>
    </row>
    <row r="37" spans="1:14" x14ac:dyDescent="0.25">
      <c r="A37" s="69"/>
      <c r="B37" s="70" t="s">
        <v>51</v>
      </c>
      <c r="C37" s="61">
        <f t="shared" si="4"/>
        <v>0</v>
      </c>
      <c r="D37" s="61">
        <f t="shared" si="3"/>
        <v>0</v>
      </c>
      <c r="E37" s="61">
        <f t="shared" si="3"/>
        <v>0</v>
      </c>
      <c r="F37" s="61">
        <f t="shared" si="5"/>
        <v>0</v>
      </c>
      <c r="I37" s="70" t="s">
        <v>51</v>
      </c>
      <c r="J37" s="61">
        <v>0</v>
      </c>
      <c r="K37" s="61">
        <v>0</v>
      </c>
      <c r="L37" s="61">
        <v>0</v>
      </c>
      <c r="M37" s="61">
        <f t="shared" si="6"/>
        <v>0</v>
      </c>
    </row>
    <row r="38" spans="1:14" x14ac:dyDescent="0.25">
      <c r="A38" s="69"/>
      <c r="B38" s="73" t="s">
        <v>79</v>
      </c>
      <c r="C38" s="74">
        <f>SUM(C33:C37)</f>
        <v>225.23</v>
      </c>
      <c r="D38" s="74">
        <f>SUM(D33:D37)</f>
        <v>220.18</v>
      </c>
      <c r="E38" s="74">
        <f>SUM(E33:E37)</f>
        <v>168.67</v>
      </c>
      <c r="F38" s="74">
        <f>SUM(F33:F37)</f>
        <v>614.07999999999993</v>
      </c>
      <c r="I38" s="73" t="s">
        <v>79</v>
      </c>
      <c r="J38" s="74">
        <f>SUM(J33:J37)</f>
        <v>223</v>
      </c>
      <c r="K38" s="74">
        <f>SUM(K33:K37)</f>
        <v>218</v>
      </c>
      <c r="L38" s="74">
        <f>SUM(L33:L37)</f>
        <v>167</v>
      </c>
      <c r="M38" s="74">
        <f>SUM(M33:M37)</f>
        <v>608</v>
      </c>
      <c r="N38" s="57">
        <f>+F38-M38</f>
        <v>6.0799999999999272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27" t="s">
        <v>119</v>
      </c>
      <c r="J41" s="328"/>
      <c r="K41" s="328"/>
      <c r="L41" s="328"/>
      <c r="M41" s="329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0</v>
      </c>
      <c r="D43" s="75">
        <f t="shared" ref="D43:E47" si="7">+K43*1.1</f>
        <v>0</v>
      </c>
      <c r="E43" s="75">
        <f t="shared" si="7"/>
        <v>0</v>
      </c>
      <c r="I43" s="70" t="s">
        <v>124</v>
      </c>
      <c r="J43" s="75">
        <v>0</v>
      </c>
      <c r="K43" s="75">
        <v>0</v>
      </c>
      <c r="L43" s="75">
        <v>0</v>
      </c>
    </row>
    <row r="44" spans="1:14" x14ac:dyDescent="0.25">
      <c r="A44" s="69"/>
      <c r="B44" s="70" t="s">
        <v>48</v>
      </c>
      <c r="C44" s="75">
        <f t="shared" ref="C44:C47" si="8">+J44*1.1</f>
        <v>0</v>
      </c>
      <c r="D44" s="75">
        <f t="shared" si="7"/>
        <v>0</v>
      </c>
      <c r="E44" s="75">
        <f t="shared" si="7"/>
        <v>0</v>
      </c>
      <c r="I44" s="70" t="s">
        <v>48</v>
      </c>
      <c r="J44" s="75">
        <v>0</v>
      </c>
      <c r="K44" s="75">
        <v>0</v>
      </c>
      <c r="L44" s="75">
        <v>0</v>
      </c>
    </row>
    <row r="45" spans="1:14" x14ac:dyDescent="0.25">
      <c r="A45" s="69"/>
      <c r="B45" s="70" t="s">
        <v>49</v>
      </c>
      <c r="C45" s="75">
        <f t="shared" si="8"/>
        <v>0</v>
      </c>
      <c r="D45" s="75">
        <f t="shared" si="7"/>
        <v>0</v>
      </c>
      <c r="E45" s="75">
        <f t="shared" si="7"/>
        <v>0</v>
      </c>
      <c r="I45" s="70" t="s">
        <v>49</v>
      </c>
      <c r="J45" s="75">
        <v>0</v>
      </c>
      <c r="K45" s="75">
        <v>0</v>
      </c>
      <c r="L45" s="75">
        <v>0</v>
      </c>
    </row>
    <row r="46" spans="1:14" x14ac:dyDescent="0.25">
      <c r="A46" s="69"/>
      <c r="B46" s="70" t="s">
        <v>50</v>
      </c>
      <c r="C46" s="75">
        <f t="shared" si="8"/>
        <v>9.9</v>
      </c>
      <c r="D46" s="75">
        <f t="shared" si="7"/>
        <v>10.340000000000002</v>
      </c>
      <c r="E46" s="75">
        <f t="shared" si="7"/>
        <v>5.83</v>
      </c>
      <c r="F46" s="76"/>
      <c r="G46" s="76"/>
      <c r="I46" s="70" t="s">
        <v>50</v>
      </c>
      <c r="J46" s="77">
        <v>9</v>
      </c>
      <c r="K46" s="75">
        <v>9.4</v>
      </c>
      <c r="L46" s="75">
        <v>5.3</v>
      </c>
    </row>
    <row r="47" spans="1:14" x14ac:dyDescent="0.25">
      <c r="A47" s="69"/>
      <c r="B47" s="70" t="s">
        <v>51</v>
      </c>
      <c r="C47" s="75">
        <f t="shared" si="8"/>
        <v>0</v>
      </c>
      <c r="D47" s="75">
        <f t="shared" si="7"/>
        <v>0</v>
      </c>
      <c r="E47" s="75">
        <f t="shared" si="7"/>
        <v>0</v>
      </c>
      <c r="I47" s="70" t="s">
        <v>51</v>
      </c>
      <c r="J47" s="75">
        <v>0</v>
      </c>
      <c r="K47" s="75">
        <v>0</v>
      </c>
      <c r="L47" s="75">
        <v>0</v>
      </c>
    </row>
    <row r="48" spans="1:14" x14ac:dyDescent="0.25">
      <c r="A48" s="69"/>
      <c r="B48" s="73" t="s">
        <v>126</v>
      </c>
      <c r="C48" s="78">
        <f>SUM(C43:C47)/5</f>
        <v>1.98</v>
      </c>
      <c r="D48" s="78">
        <f>SUM(D43:D47)/5</f>
        <v>2.0680000000000005</v>
      </c>
      <c r="E48" s="78">
        <f>SUM(E43:E47)/5</f>
        <v>1.1659999999999999</v>
      </c>
      <c r="I48" s="73" t="s">
        <v>126</v>
      </c>
      <c r="J48" s="78">
        <f>SUM(J43:J47)/5</f>
        <v>1.8</v>
      </c>
      <c r="K48" s="78">
        <f>SUM(K43:K47)/5</f>
        <v>1.8800000000000001</v>
      </c>
      <c r="L48" s="78">
        <f>SUM(L43:L47)/5</f>
        <v>1.06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0</v>
      </c>
      <c r="D52" s="61">
        <f t="shared" ref="D52:E52" si="9">+D33*D43</f>
        <v>0</v>
      </c>
      <c r="E52" s="61">
        <f t="shared" si="9"/>
        <v>0</v>
      </c>
      <c r="F52" s="61">
        <f>SUM(C52:E52)</f>
        <v>0</v>
      </c>
    </row>
    <row r="53" spans="1:6" x14ac:dyDescent="0.25">
      <c r="B53" s="70" t="s">
        <v>48</v>
      </c>
      <c r="C53" s="61">
        <f t="shared" ref="C53:E56" si="10">+C34*C44</f>
        <v>0</v>
      </c>
      <c r="D53" s="61">
        <f t="shared" si="10"/>
        <v>0</v>
      </c>
      <c r="E53" s="61">
        <f t="shared" si="10"/>
        <v>0</v>
      </c>
      <c r="F53" s="61">
        <f t="shared" ref="F53:F56" si="11">SUM(C53:E53)</f>
        <v>0</v>
      </c>
    </row>
    <row r="54" spans="1:6" x14ac:dyDescent="0.25">
      <c r="B54" s="70" t="s">
        <v>49</v>
      </c>
      <c r="C54" s="61">
        <f t="shared" si="10"/>
        <v>0</v>
      </c>
      <c r="D54" s="61">
        <f t="shared" si="10"/>
        <v>0</v>
      </c>
      <c r="E54" s="61">
        <f t="shared" si="10"/>
        <v>0</v>
      </c>
      <c r="F54" s="61">
        <f t="shared" si="11"/>
        <v>0</v>
      </c>
    </row>
    <row r="55" spans="1:6" x14ac:dyDescent="0.25">
      <c r="B55" s="70" t="s">
        <v>50</v>
      </c>
      <c r="C55" s="61">
        <f t="shared" si="10"/>
        <v>2229.777</v>
      </c>
      <c r="D55" s="61">
        <f t="shared" si="10"/>
        <v>2276.6612000000005</v>
      </c>
      <c r="E55" s="61">
        <f t="shared" si="10"/>
        <v>983.34609999999998</v>
      </c>
      <c r="F55" s="61">
        <f t="shared" si="11"/>
        <v>5489.7843000000003</v>
      </c>
    </row>
    <row r="56" spans="1:6" x14ac:dyDescent="0.25">
      <c r="B56" s="70" t="s">
        <v>51</v>
      </c>
      <c r="C56" s="61">
        <f t="shared" si="10"/>
        <v>0</v>
      </c>
      <c r="D56" s="61">
        <f t="shared" si="10"/>
        <v>0</v>
      </c>
      <c r="E56" s="61">
        <f t="shared" si="10"/>
        <v>0</v>
      </c>
      <c r="F56" s="61">
        <f t="shared" si="11"/>
        <v>0</v>
      </c>
    </row>
    <row r="57" spans="1:6" x14ac:dyDescent="0.25">
      <c r="B57" s="73" t="s">
        <v>79</v>
      </c>
      <c r="C57" s="74">
        <f>SUM(C52:C56)</f>
        <v>2229.777</v>
      </c>
      <c r="D57" s="74">
        <f t="shared" ref="D57:F57" si="12">SUM(D52:D56)</f>
        <v>2276.6612000000005</v>
      </c>
      <c r="E57" s="74">
        <f t="shared" si="12"/>
        <v>983.34609999999998</v>
      </c>
      <c r="F57" s="74">
        <f t="shared" si="12"/>
        <v>5489.7843000000003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0</v>
      </c>
      <c r="D61" s="61">
        <f t="shared" ref="D61:E61" si="13">+D52*135</f>
        <v>0</v>
      </c>
      <c r="E61" s="61">
        <f t="shared" si="13"/>
        <v>0</v>
      </c>
      <c r="F61" s="61">
        <f>SUM(C61:E61)</f>
        <v>0</v>
      </c>
    </row>
    <row r="62" spans="1:6" x14ac:dyDescent="0.25">
      <c r="B62" s="70" t="s">
        <v>48</v>
      </c>
      <c r="C62" s="61">
        <f t="shared" ref="C62:E65" si="14">+C53*135</f>
        <v>0</v>
      </c>
      <c r="D62" s="61">
        <f t="shared" si="14"/>
        <v>0</v>
      </c>
      <c r="E62" s="61">
        <f t="shared" si="14"/>
        <v>0</v>
      </c>
      <c r="F62" s="61">
        <f t="shared" ref="F62:F65" si="15">SUM(C62:E62)</f>
        <v>0</v>
      </c>
    </row>
    <row r="63" spans="1:6" x14ac:dyDescent="0.25">
      <c r="B63" s="70" t="s">
        <v>49</v>
      </c>
      <c r="C63" s="61">
        <f t="shared" si="14"/>
        <v>0</v>
      </c>
      <c r="D63" s="61">
        <f t="shared" si="14"/>
        <v>0</v>
      </c>
      <c r="E63" s="61">
        <f t="shared" si="14"/>
        <v>0</v>
      </c>
      <c r="F63" s="61">
        <f t="shared" si="15"/>
        <v>0</v>
      </c>
    </row>
    <row r="64" spans="1:6" x14ac:dyDescent="0.25">
      <c r="B64" s="70" t="s">
        <v>50</v>
      </c>
      <c r="C64" s="61">
        <f t="shared" si="14"/>
        <v>301019.89500000002</v>
      </c>
      <c r="D64" s="61">
        <f t="shared" si="14"/>
        <v>307349.26200000005</v>
      </c>
      <c r="E64" s="61">
        <f t="shared" si="14"/>
        <v>132751.72349999999</v>
      </c>
      <c r="F64" s="61">
        <f t="shared" si="15"/>
        <v>741120.88050000009</v>
      </c>
    </row>
    <row r="65" spans="1:7" x14ac:dyDescent="0.25">
      <c r="B65" s="70" t="s">
        <v>51</v>
      </c>
      <c r="C65" s="61">
        <f t="shared" si="14"/>
        <v>0</v>
      </c>
      <c r="D65" s="61">
        <f t="shared" si="14"/>
        <v>0</v>
      </c>
      <c r="E65" s="61">
        <f t="shared" si="14"/>
        <v>0</v>
      </c>
      <c r="F65" s="61">
        <f t="shared" si="15"/>
        <v>0</v>
      </c>
    </row>
    <row r="66" spans="1:7" x14ac:dyDescent="0.25">
      <c r="B66" s="73" t="s">
        <v>79</v>
      </c>
      <c r="C66" s="74">
        <f>SUM(C61:C65)</f>
        <v>301019.89500000002</v>
      </c>
      <c r="D66" s="74">
        <f t="shared" ref="D66:F66" si="16">SUM(D61:D65)</f>
        <v>307349.26200000005</v>
      </c>
      <c r="E66" s="74">
        <f t="shared" si="16"/>
        <v>132751.72349999999</v>
      </c>
      <c r="F66" s="74">
        <f t="shared" si="16"/>
        <v>741120.88050000009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0</v>
      </c>
      <c r="D69" s="61">
        <f t="shared" ref="D69:E69" si="17">+D61*0.925</f>
        <v>0</v>
      </c>
      <c r="E69" s="61">
        <f t="shared" si="17"/>
        <v>0</v>
      </c>
      <c r="F69" s="61">
        <f>SUM(C69:E69)</f>
        <v>0</v>
      </c>
    </row>
    <row r="70" spans="1:7" x14ac:dyDescent="0.25">
      <c r="B70" s="70" t="s">
        <v>48</v>
      </c>
      <c r="C70" s="61">
        <f t="shared" ref="C70:E73" si="18">+C62*0.925</f>
        <v>0</v>
      </c>
      <c r="D70" s="61">
        <f t="shared" si="18"/>
        <v>0</v>
      </c>
      <c r="E70" s="61">
        <f t="shared" si="18"/>
        <v>0</v>
      </c>
      <c r="F70" s="61">
        <f t="shared" ref="F70:F73" si="19">SUM(C70:E70)</f>
        <v>0</v>
      </c>
    </row>
    <row r="71" spans="1:7" x14ac:dyDescent="0.25">
      <c r="B71" s="70" t="s">
        <v>49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9"/>
        <v>0</v>
      </c>
    </row>
    <row r="72" spans="1:7" x14ac:dyDescent="0.25">
      <c r="B72" s="70" t="s">
        <v>50</v>
      </c>
      <c r="C72" s="61">
        <f t="shared" si="18"/>
        <v>278443.40287500003</v>
      </c>
      <c r="D72" s="61">
        <f t="shared" si="18"/>
        <v>284298.06735000008</v>
      </c>
      <c r="E72" s="61">
        <f t="shared" si="18"/>
        <v>122795.3442375</v>
      </c>
      <c r="F72" s="61">
        <f t="shared" si="19"/>
        <v>685536.81446250004</v>
      </c>
    </row>
    <row r="73" spans="1:7" x14ac:dyDescent="0.25">
      <c r="B73" s="70" t="s">
        <v>51</v>
      </c>
      <c r="C73" s="61">
        <f t="shared" si="18"/>
        <v>0</v>
      </c>
      <c r="D73" s="61">
        <f t="shared" si="18"/>
        <v>0</v>
      </c>
      <c r="E73" s="61">
        <f t="shared" si="18"/>
        <v>0</v>
      </c>
      <c r="F73" s="61">
        <f t="shared" si="19"/>
        <v>0</v>
      </c>
    </row>
    <row r="74" spans="1:7" ht="15.75" thickBot="1" x14ac:dyDescent="0.3">
      <c r="B74" s="73" t="s">
        <v>79</v>
      </c>
      <c r="C74" s="49">
        <f>SUM(C69:C73)</f>
        <v>278443.40287500003</v>
      </c>
      <c r="D74" s="49">
        <f t="shared" ref="D74:F74" si="20">SUM(D69:D73)</f>
        <v>284298.06735000008</v>
      </c>
      <c r="E74" s="49">
        <f t="shared" si="20"/>
        <v>122795.3442375</v>
      </c>
      <c r="F74" s="49">
        <f t="shared" si="20"/>
        <v>685536.81446250004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0</v>
      </c>
      <c r="D78" s="61">
        <f t="shared" ref="D78:E82" si="21">+D33*50</f>
        <v>0</v>
      </c>
      <c r="E78" s="61">
        <f t="shared" si="21"/>
        <v>0</v>
      </c>
      <c r="F78" s="61">
        <f>SUM(C78:E78)</f>
        <v>0</v>
      </c>
    </row>
    <row r="79" spans="1:7" x14ac:dyDescent="0.25">
      <c r="B79" s="70" t="s">
        <v>48</v>
      </c>
      <c r="C79" s="61">
        <f>+C34*50</f>
        <v>0</v>
      </c>
      <c r="D79" s="61">
        <f t="shared" si="21"/>
        <v>0</v>
      </c>
      <c r="E79" s="61">
        <f t="shared" si="21"/>
        <v>0</v>
      </c>
      <c r="F79" s="61">
        <f t="shared" ref="F79:F82" si="22">SUM(C79:E79)</f>
        <v>0</v>
      </c>
    </row>
    <row r="80" spans="1:7" x14ac:dyDescent="0.25">
      <c r="B80" s="70" t="s">
        <v>49</v>
      </c>
      <c r="C80" s="61">
        <f>+C35*50</f>
        <v>0</v>
      </c>
      <c r="D80" s="61">
        <f t="shared" si="21"/>
        <v>0</v>
      </c>
      <c r="E80" s="61">
        <f t="shared" si="21"/>
        <v>0</v>
      </c>
      <c r="F80" s="61">
        <f t="shared" si="22"/>
        <v>0</v>
      </c>
    </row>
    <row r="81" spans="1:7" x14ac:dyDescent="0.25">
      <c r="B81" s="70" t="s">
        <v>50</v>
      </c>
      <c r="C81" s="61">
        <f>+C36*50</f>
        <v>11261.5</v>
      </c>
      <c r="D81" s="61">
        <f t="shared" si="21"/>
        <v>11009</v>
      </c>
      <c r="E81" s="61">
        <f t="shared" si="21"/>
        <v>8433.5</v>
      </c>
      <c r="F81" s="61">
        <f t="shared" si="22"/>
        <v>30704</v>
      </c>
    </row>
    <row r="82" spans="1:7" x14ac:dyDescent="0.25">
      <c r="B82" s="70" t="s">
        <v>51</v>
      </c>
      <c r="C82" s="61">
        <f>+C37*50</f>
        <v>0</v>
      </c>
      <c r="D82" s="61">
        <f t="shared" si="21"/>
        <v>0</v>
      </c>
      <c r="E82" s="61">
        <f t="shared" si="21"/>
        <v>0</v>
      </c>
      <c r="F82" s="61">
        <f t="shared" si="22"/>
        <v>0</v>
      </c>
    </row>
    <row r="83" spans="1:7" ht="15.75" thickBot="1" x14ac:dyDescent="0.3">
      <c r="B83" s="73" t="s">
        <v>79</v>
      </c>
      <c r="C83" s="49">
        <f>SUM(C78:C82)</f>
        <v>11261.5</v>
      </c>
      <c r="D83" s="49">
        <f t="shared" ref="D83:F83" si="23">SUM(D78:D82)</f>
        <v>11009</v>
      </c>
      <c r="E83" s="49">
        <f t="shared" si="23"/>
        <v>8433.5</v>
      </c>
      <c r="F83" s="49">
        <f t="shared" si="23"/>
        <v>30704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185.06526450511944</v>
      </c>
      <c r="D93" s="61">
        <f>+D38*J13</f>
        <v>173.08099094807051</v>
      </c>
      <c r="E93" s="61">
        <f>+E38*K13</f>
        <v>114.4022608695652</v>
      </c>
      <c r="F93" s="61">
        <f>SUM(C93:E93)</f>
        <v>472.54851632275518</v>
      </c>
    </row>
    <row r="94" spans="1:7" x14ac:dyDescent="0.25">
      <c r="B94" s="70" t="s">
        <v>110</v>
      </c>
      <c r="C94" s="61">
        <f>+C38-C93</f>
        <v>40.164735494880546</v>
      </c>
      <c r="D94" s="61">
        <f t="shared" ref="D94:E94" si="24">+D38-D93</f>
        <v>47.099009051929499</v>
      </c>
      <c r="E94" s="61">
        <f t="shared" si="24"/>
        <v>54.267739130434791</v>
      </c>
      <c r="F94" s="61">
        <f t="shared" ref="F94" si="25">SUM(C94:E94)</f>
        <v>141.53148367724484</v>
      </c>
    </row>
    <row r="95" spans="1:7" x14ac:dyDescent="0.25">
      <c r="B95" s="73" t="s">
        <v>79</v>
      </c>
      <c r="C95" s="74">
        <f>SUM(C93:C94)</f>
        <v>225.23</v>
      </c>
      <c r="D95" s="74">
        <f>SUM(D93:D94)</f>
        <v>220.18</v>
      </c>
      <c r="E95" s="74">
        <f>SUM(E93:E94)</f>
        <v>168.67</v>
      </c>
      <c r="F95" s="74">
        <f>SUM(F93:F94)</f>
        <v>614.08000000000004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37013.05290102389</v>
      </c>
      <c r="D98" s="61">
        <f t="shared" ref="D98" si="26">+D93*200</f>
        <v>34616.198189614101</v>
      </c>
      <c r="E98" s="61">
        <f>+E93*50</f>
        <v>5720.1130434782599</v>
      </c>
      <c r="F98" s="61">
        <f>SUM(C98:E98)</f>
        <v>77349.364134116244</v>
      </c>
    </row>
    <row r="99" spans="2:6" x14ac:dyDescent="0.25">
      <c r="B99" s="70" t="s">
        <v>110</v>
      </c>
      <c r="C99" s="61">
        <f>+C94*70</f>
        <v>2811.5314846416381</v>
      </c>
      <c r="D99" s="61">
        <f t="shared" ref="D99" si="27">+D94*70</f>
        <v>3296.9306336350651</v>
      </c>
      <c r="E99" s="88">
        <f>+'[1]Facility Fee'!$X$37*E38</f>
        <v>0</v>
      </c>
      <c r="F99" s="61">
        <f t="shared" ref="F99" si="28">SUM(C99:E99)</f>
        <v>6108.4621182767032</v>
      </c>
    </row>
    <row r="100" spans="2:6" x14ac:dyDescent="0.25">
      <c r="B100" s="73" t="s">
        <v>79</v>
      </c>
      <c r="C100" s="74">
        <f>SUM(C98:C99)</f>
        <v>39824.584385665526</v>
      </c>
      <c r="D100" s="74">
        <f>SUM(D98:D99)</f>
        <v>37913.128823249164</v>
      </c>
      <c r="E100" s="74">
        <f>SUM(E98:E99)</f>
        <v>5720.1130434782599</v>
      </c>
      <c r="F100" s="74">
        <f>SUM(F98:F99)</f>
        <v>83457.826252392944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10" workbookViewId="0">
      <selection activeCell="J45" sqref="J45:L47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24" t="s">
        <v>103</v>
      </c>
      <c r="D11" s="325"/>
      <c r="E11" s="326"/>
      <c r="F11" s="324" t="s">
        <v>104</v>
      </c>
      <c r="G11" s="325"/>
      <c r="H11" s="326"/>
      <c r="I11" s="324" t="s">
        <v>105</v>
      </c>
      <c r="J11" s="325"/>
      <c r="K11" s="326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2125062.8474625004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82113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241515.82108351574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2448691.6685460163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6344691.6685460163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27" t="s">
        <v>119</v>
      </c>
      <c r="J31" s="328"/>
      <c r="K31" s="328"/>
      <c r="L31" s="328"/>
      <c r="M31" s="329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0</v>
      </c>
      <c r="D33" s="61">
        <f t="shared" ref="D33:E37" si="3">+K33*1.01</f>
        <v>0</v>
      </c>
      <c r="E33" s="61">
        <f t="shared" si="3"/>
        <v>0</v>
      </c>
      <c r="F33" s="61">
        <f>SUM(C33:E33)</f>
        <v>0</v>
      </c>
      <c r="G33" s="71"/>
      <c r="I33" s="70" t="s">
        <v>124</v>
      </c>
      <c r="J33" s="61"/>
      <c r="K33" s="61"/>
      <c r="L33" s="61"/>
      <c r="M33" s="61">
        <f>SUM(J33:L33)</f>
        <v>0</v>
      </c>
    </row>
    <row r="34" spans="1:14" x14ac:dyDescent="0.25">
      <c r="A34" s="69"/>
      <c r="B34" s="70" t="s">
        <v>48</v>
      </c>
      <c r="C34" s="61">
        <f t="shared" ref="C34:C37" si="4">+J34*1.01</f>
        <v>710.03</v>
      </c>
      <c r="D34" s="61">
        <f t="shared" si="3"/>
        <v>610.04</v>
      </c>
      <c r="E34" s="61">
        <f t="shared" si="3"/>
        <v>322.19</v>
      </c>
      <c r="F34" s="61">
        <f t="shared" ref="F34:F37" si="5">SUM(C34:E34)</f>
        <v>1642.26</v>
      </c>
      <c r="G34" s="71"/>
      <c r="I34" s="70" t="s">
        <v>48</v>
      </c>
      <c r="J34" s="61">
        <v>703</v>
      </c>
      <c r="K34" s="61">
        <v>604</v>
      </c>
      <c r="L34" s="61">
        <v>319</v>
      </c>
      <c r="M34" s="61">
        <f t="shared" ref="M34:M37" si="6">SUM(J34:L34)</f>
        <v>1626</v>
      </c>
    </row>
    <row r="35" spans="1:14" s="72" customFormat="1" x14ac:dyDescent="0.25">
      <c r="A35" s="69"/>
      <c r="B35" s="70" t="s">
        <v>49</v>
      </c>
      <c r="C35" s="61">
        <f t="shared" si="4"/>
        <v>0</v>
      </c>
      <c r="D35" s="61">
        <f t="shared" si="3"/>
        <v>0</v>
      </c>
      <c r="E35" s="61">
        <f t="shared" si="3"/>
        <v>0</v>
      </c>
      <c r="F35" s="61">
        <f t="shared" si="5"/>
        <v>0</v>
      </c>
      <c r="I35" s="70" t="s">
        <v>49</v>
      </c>
      <c r="J35" s="61"/>
      <c r="K35" s="61"/>
      <c r="L35" s="61"/>
      <c r="M35" s="61">
        <f t="shared" si="6"/>
        <v>0</v>
      </c>
    </row>
    <row r="36" spans="1:14" x14ac:dyDescent="0.25">
      <c r="A36" s="69"/>
      <c r="B36" s="70" t="s">
        <v>50</v>
      </c>
      <c r="C36" s="61">
        <f t="shared" si="4"/>
        <v>0</v>
      </c>
      <c r="D36" s="61">
        <f t="shared" si="3"/>
        <v>0</v>
      </c>
      <c r="E36" s="61">
        <f t="shared" si="3"/>
        <v>0</v>
      </c>
      <c r="F36" s="61">
        <f t="shared" si="5"/>
        <v>0</v>
      </c>
      <c r="G36" s="71"/>
      <c r="I36" s="70" t="s">
        <v>50</v>
      </c>
      <c r="J36" s="61"/>
      <c r="K36" s="61"/>
      <c r="L36" s="61"/>
      <c r="M36" s="61">
        <f t="shared" si="6"/>
        <v>0</v>
      </c>
    </row>
    <row r="37" spans="1:14" x14ac:dyDescent="0.25">
      <c r="A37" s="69"/>
      <c r="B37" s="70" t="s">
        <v>51</v>
      </c>
      <c r="C37" s="61">
        <f t="shared" si="4"/>
        <v>0</v>
      </c>
      <c r="D37" s="61">
        <f t="shared" si="3"/>
        <v>0</v>
      </c>
      <c r="E37" s="61">
        <f t="shared" si="3"/>
        <v>0</v>
      </c>
      <c r="F37" s="61">
        <f t="shared" si="5"/>
        <v>0</v>
      </c>
      <c r="I37" s="70" t="s">
        <v>51</v>
      </c>
      <c r="J37" s="61"/>
      <c r="K37" s="61"/>
      <c r="L37" s="61"/>
      <c r="M37" s="61">
        <f t="shared" si="6"/>
        <v>0</v>
      </c>
    </row>
    <row r="38" spans="1:14" x14ac:dyDescent="0.25">
      <c r="A38" s="69"/>
      <c r="B38" s="73" t="s">
        <v>79</v>
      </c>
      <c r="C38" s="74">
        <f>SUM(C33:C37)</f>
        <v>710.03</v>
      </c>
      <c r="D38" s="74">
        <f>SUM(D33:D37)</f>
        <v>610.04</v>
      </c>
      <c r="E38" s="74">
        <f>SUM(E33:E37)</f>
        <v>322.19</v>
      </c>
      <c r="F38" s="74">
        <f>SUM(F33:F37)</f>
        <v>1642.26</v>
      </c>
      <c r="I38" s="73" t="s">
        <v>79</v>
      </c>
      <c r="J38" s="74">
        <f>SUM(J33:J37)</f>
        <v>703</v>
      </c>
      <c r="K38" s="74">
        <f>SUM(K33:K37)</f>
        <v>604</v>
      </c>
      <c r="L38" s="74">
        <f>SUM(L33:L37)</f>
        <v>319</v>
      </c>
      <c r="M38" s="74">
        <f>SUM(M33:M37)</f>
        <v>1626</v>
      </c>
      <c r="N38" s="57">
        <f>+F38-M38</f>
        <v>16.259999999999991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27" t="s">
        <v>119</v>
      </c>
      <c r="J41" s="328"/>
      <c r="K41" s="328"/>
      <c r="L41" s="328"/>
      <c r="M41" s="329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0</v>
      </c>
      <c r="D43" s="75">
        <f t="shared" ref="D43:E47" si="7">+K43*1.1</f>
        <v>0</v>
      </c>
      <c r="E43" s="75">
        <f t="shared" si="7"/>
        <v>0</v>
      </c>
      <c r="I43" s="70" t="s">
        <v>124</v>
      </c>
      <c r="J43" s="75"/>
      <c r="K43" s="75"/>
      <c r="L43" s="75"/>
    </row>
    <row r="44" spans="1:14" x14ac:dyDescent="0.25">
      <c r="A44" s="69"/>
      <c r="B44" s="70" t="s">
        <v>48</v>
      </c>
      <c r="C44" s="75">
        <f t="shared" ref="C44:C47" si="8">+J44*1.1</f>
        <v>11.22</v>
      </c>
      <c r="D44" s="75">
        <f t="shared" si="7"/>
        <v>11.990000000000002</v>
      </c>
      <c r="E44" s="75">
        <f t="shared" si="7"/>
        <v>5.3900000000000006</v>
      </c>
      <c r="I44" s="70" t="s">
        <v>48</v>
      </c>
      <c r="J44" s="75">
        <v>10.199999999999999</v>
      </c>
      <c r="K44" s="75">
        <v>10.9</v>
      </c>
      <c r="L44" s="75">
        <v>4.9000000000000004</v>
      </c>
    </row>
    <row r="45" spans="1:14" x14ac:dyDescent="0.25">
      <c r="A45" s="69"/>
      <c r="B45" s="70" t="s">
        <v>49</v>
      </c>
      <c r="C45" s="75">
        <f t="shared" si="8"/>
        <v>0</v>
      </c>
      <c r="D45" s="75">
        <f t="shared" si="7"/>
        <v>0</v>
      </c>
      <c r="E45" s="75">
        <f t="shared" si="7"/>
        <v>0</v>
      </c>
      <c r="I45" s="70" t="s">
        <v>49</v>
      </c>
      <c r="J45" s="75"/>
      <c r="K45" s="75"/>
      <c r="L45" s="75"/>
    </row>
    <row r="46" spans="1:14" x14ac:dyDescent="0.25">
      <c r="A46" s="69"/>
      <c r="B46" s="70" t="s">
        <v>50</v>
      </c>
      <c r="C46" s="75">
        <f t="shared" si="8"/>
        <v>0</v>
      </c>
      <c r="D46" s="75">
        <f t="shared" si="7"/>
        <v>0</v>
      </c>
      <c r="E46" s="75">
        <f t="shared" si="7"/>
        <v>0</v>
      </c>
      <c r="F46" s="76"/>
      <c r="G46" s="76"/>
      <c r="I46" s="70" t="s">
        <v>50</v>
      </c>
      <c r="J46" s="77"/>
      <c r="K46" s="75"/>
      <c r="L46" s="75"/>
    </row>
    <row r="47" spans="1:14" x14ac:dyDescent="0.25">
      <c r="A47" s="69"/>
      <c r="B47" s="70" t="s">
        <v>51</v>
      </c>
      <c r="C47" s="75">
        <f t="shared" si="8"/>
        <v>0</v>
      </c>
      <c r="D47" s="75">
        <f t="shared" si="7"/>
        <v>0</v>
      </c>
      <c r="E47" s="75">
        <f t="shared" si="7"/>
        <v>0</v>
      </c>
      <c r="I47" s="70" t="s">
        <v>51</v>
      </c>
      <c r="J47" s="77"/>
      <c r="K47" s="75"/>
      <c r="L47" s="75"/>
    </row>
    <row r="48" spans="1:14" x14ac:dyDescent="0.25">
      <c r="A48" s="69"/>
      <c r="B48" s="73" t="s">
        <v>126</v>
      </c>
      <c r="C48" s="78">
        <f>SUM(C43:C47)/5</f>
        <v>2.2440000000000002</v>
      </c>
      <c r="D48" s="78">
        <f>SUM(D43:D47)/5</f>
        <v>2.3980000000000006</v>
      </c>
      <c r="E48" s="78">
        <f>SUM(E43:E47)/5</f>
        <v>1.0780000000000001</v>
      </c>
      <c r="I48" s="73" t="s">
        <v>126</v>
      </c>
      <c r="J48" s="78">
        <f>SUM(J43:J47)/5</f>
        <v>2.04</v>
      </c>
      <c r="K48" s="78">
        <f>SUM(K43:K47)/5</f>
        <v>2.1800000000000002</v>
      </c>
      <c r="L48" s="78">
        <f>SUM(L43:L47)/5</f>
        <v>0.98000000000000009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0</v>
      </c>
      <c r="D52" s="61">
        <f t="shared" ref="D52:E52" si="9">+D33*D43</f>
        <v>0</v>
      </c>
      <c r="E52" s="61">
        <f t="shared" si="9"/>
        <v>0</v>
      </c>
      <c r="F52" s="61">
        <f>SUM(C52:E52)</f>
        <v>0</v>
      </c>
    </row>
    <row r="53" spans="1:6" x14ac:dyDescent="0.25">
      <c r="B53" s="70" t="s">
        <v>48</v>
      </c>
      <c r="C53" s="61">
        <f t="shared" ref="C53:E56" si="10">+C34*C44</f>
        <v>7966.5366000000004</v>
      </c>
      <c r="D53" s="61">
        <f t="shared" si="10"/>
        <v>7314.3796000000011</v>
      </c>
      <c r="E53" s="61">
        <f t="shared" si="10"/>
        <v>1736.6041000000002</v>
      </c>
      <c r="F53" s="61">
        <f t="shared" ref="F53:F56" si="11">SUM(C53:E53)</f>
        <v>17017.5203</v>
      </c>
    </row>
    <row r="54" spans="1:6" x14ac:dyDescent="0.25">
      <c r="B54" s="70" t="s">
        <v>49</v>
      </c>
      <c r="C54" s="61">
        <f t="shared" si="10"/>
        <v>0</v>
      </c>
      <c r="D54" s="61">
        <f t="shared" si="10"/>
        <v>0</v>
      </c>
      <c r="E54" s="61">
        <f t="shared" si="10"/>
        <v>0</v>
      </c>
      <c r="F54" s="61">
        <f t="shared" si="11"/>
        <v>0</v>
      </c>
    </row>
    <row r="55" spans="1:6" x14ac:dyDescent="0.25">
      <c r="B55" s="70" t="s">
        <v>50</v>
      </c>
      <c r="C55" s="61">
        <f t="shared" si="10"/>
        <v>0</v>
      </c>
      <c r="D55" s="61">
        <f t="shared" si="10"/>
        <v>0</v>
      </c>
      <c r="E55" s="61">
        <f t="shared" si="10"/>
        <v>0</v>
      </c>
      <c r="F55" s="61">
        <f t="shared" si="11"/>
        <v>0</v>
      </c>
    </row>
    <row r="56" spans="1:6" x14ac:dyDescent="0.25">
      <c r="B56" s="70" t="s">
        <v>51</v>
      </c>
      <c r="C56" s="61">
        <f t="shared" si="10"/>
        <v>0</v>
      </c>
      <c r="D56" s="61">
        <f t="shared" si="10"/>
        <v>0</v>
      </c>
      <c r="E56" s="61">
        <f t="shared" si="10"/>
        <v>0</v>
      </c>
      <c r="F56" s="61">
        <f t="shared" si="11"/>
        <v>0</v>
      </c>
    </row>
    <row r="57" spans="1:6" x14ac:dyDescent="0.25">
      <c r="B57" s="73" t="s">
        <v>79</v>
      </c>
      <c r="C57" s="74">
        <f>SUM(C52:C56)</f>
        <v>7966.5366000000004</v>
      </c>
      <c r="D57" s="74">
        <f t="shared" ref="D57:F57" si="12">SUM(D52:D56)</f>
        <v>7314.3796000000011</v>
      </c>
      <c r="E57" s="74">
        <f t="shared" si="12"/>
        <v>1736.6041000000002</v>
      </c>
      <c r="F57" s="74">
        <f t="shared" si="12"/>
        <v>17017.5203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0</v>
      </c>
      <c r="D61" s="61">
        <f t="shared" ref="D61:E61" si="13">+D52*135</f>
        <v>0</v>
      </c>
      <c r="E61" s="61">
        <f t="shared" si="13"/>
        <v>0</v>
      </c>
      <c r="F61" s="61">
        <f>SUM(C61:E61)</f>
        <v>0</v>
      </c>
    </row>
    <row r="62" spans="1:6" x14ac:dyDescent="0.25">
      <c r="B62" s="70" t="s">
        <v>48</v>
      </c>
      <c r="C62" s="61">
        <f t="shared" ref="C62:E65" si="14">+C53*135</f>
        <v>1075482.4410000001</v>
      </c>
      <c r="D62" s="61">
        <f t="shared" si="14"/>
        <v>987441.24600000016</v>
      </c>
      <c r="E62" s="61">
        <f t="shared" si="14"/>
        <v>234441.55350000004</v>
      </c>
      <c r="F62" s="61">
        <f t="shared" ref="F62:F65" si="15">SUM(C62:E62)</f>
        <v>2297365.2405000003</v>
      </c>
    </row>
    <row r="63" spans="1:6" x14ac:dyDescent="0.25">
      <c r="B63" s="70" t="s">
        <v>49</v>
      </c>
      <c r="C63" s="61">
        <f t="shared" si="14"/>
        <v>0</v>
      </c>
      <c r="D63" s="61">
        <f t="shared" si="14"/>
        <v>0</v>
      </c>
      <c r="E63" s="61">
        <f t="shared" si="14"/>
        <v>0</v>
      </c>
      <c r="F63" s="61">
        <f t="shared" si="15"/>
        <v>0</v>
      </c>
    </row>
    <row r="64" spans="1:6" x14ac:dyDescent="0.25">
      <c r="B64" s="70" t="s">
        <v>50</v>
      </c>
      <c r="C64" s="61">
        <f t="shared" si="14"/>
        <v>0</v>
      </c>
      <c r="D64" s="61">
        <f t="shared" si="14"/>
        <v>0</v>
      </c>
      <c r="E64" s="61">
        <f t="shared" si="14"/>
        <v>0</v>
      </c>
      <c r="F64" s="61">
        <f t="shared" si="15"/>
        <v>0</v>
      </c>
    </row>
    <row r="65" spans="1:7" x14ac:dyDescent="0.25">
      <c r="B65" s="70" t="s">
        <v>51</v>
      </c>
      <c r="C65" s="61">
        <f t="shared" si="14"/>
        <v>0</v>
      </c>
      <c r="D65" s="61">
        <f t="shared" si="14"/>
        <v>0</v>
      </c>
      <c r="E65" s="61">
        <f t="shared" si="14"/>
        <v>0</v>
      </c>
      <c r="F65" s="61">
        <f t="shared" si="15"/>
        <v>0</v>
      </c>
    </row>
    <row r="66" spans="1:7" x14ac:dyDescent="0.25">
      <c r="B66" s="73" t="s">
        <v>79</v>
      </c>
      <c r="C66" s="74">
        <f>SUM(C61:C65)</f>
        <v>1075482.4410000001</v>
      </c>
      <c r="D66" s="74">
        <f t="shared" ref="D66:F66" si="16">SUM(D61:D65)</f>
        <v>987441.24600000016</v>
      </c>
      <c r="E66" s="74">
        <f t="shared" si="16"/>
        <v>234441.55350000004</v>
      </c>
      <c r="F66" s="74">
        <f t="shared" si="16"/>
        <v>2297365.2405000003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0</v>
      </c>
      <c r="D69" s="61">
        <f t="shared" ref="D69:E69" si="17">+D61*0.925</f>
        <v>0</v>
      </c>
      <c r="E69" s="61">
        <f t="shared" si="17"/>
        <v>0</v>
      </c>
      <c r="F69" s="61">
        <f>SUM(C69:E69)</f>
        <v>0</v>
      </c>
    </row>
    <row r="70" spans="1:7" x14ac:dyDescent="0.25">
      <c r="B70" s="70" t="s">
        <v>48</v>
      </c>
      <c r="C70" s="61">
        <f t="shared" ref="C70:E73" si="18">+C62*0.925</f>
        <v>994821.25792500016</v>
      </c>
      <c r="D70" s="61">
        <f t="shared" si="18"/>
        <v>913383.15255000023</v>
      </c>
      <c r="E70" s="61">
        <f t="shared" si="18"/>
        <v>216858.43698750006</v>
      </c>
      <c r="F70" s="61">
        <f t="shared" ref="F70:F73" si="19">SUM(C70:E70)</f>
        <v>2125062.8474625004</v>
      </c>
    </row>
    <row r="71" spans="1:7" x14ac:dyDescent="0.25">
      <c r="B71" s="70" t="s">
        <v>49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9"/>
        <v>0</v>
      </c>
    </row>
    <row r="72" spans="1:7" x14ac:dyDescent="0.25">
      <c r="B72" s="70" t="s">
        <v>50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9"/>
        <v>0</v>
      </c>
    </row>
    <row r="73" spans="1:7" x14ac:dyDescent="0.25">
      <c r="B73" s="70" t="s">
        <v>51</v>
      </c>
      <c r="C73" s="61">
        <f t="shared" si="18"/>
        <v>0</v>
      </c>
      <c r="D73" s="61">
        <f t="shared" si="18"/>
        <v>0</v>
      </c>
      <c r="E73" s="61">
        <f t="shared" si="18"/>
        <v>0</v>
      </c>
      <c r="F73" s="61">
        <f t="shared" si="19"/>
        <v>0</v>
      </c>
    </row>
    <row r="74" spans="1:7" ht="15.75" thickBot="1" x14ac:dyDescent="0.3">
      <c r="B74" s="73" t="s">
        <v>79</v>
      </c>
      <c r="C74" s="49">
        <f>SUM(C69:C73)</f>
        <v>994821.25792500016</v>
      </c>
      <c r="D74" s="49">
        <f t="shared" ref="D74:F74" si="20">SUM(D69:D73)</f>
        <v>913383.15255000023</v>
      </c>
      <c r="E74" s="49">
        <f t="shared" si="20"/>
        <v>216858.43698750006</v>
      </c>
      <c r="F74" s="49">
        <f t="shared" si="20"/>
        <v>2125062.8474625004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0</v>
      </c>
      <c r="D78" s="61">
        <f t="shared" ref="D78:E82" si="21">+D33*50</f>
        <v>0</v>
      </c>
      <c r="E78" s="61">
        <f t="shared" si="21"/>
        <v>0</v>
      </c>
      <c r="F78" s="61">
        <f>SUM(C78:E78)</f>
        <v>0</v>
      </c>
    </row>
    <row r="79" spans="1:7" x14ac:dyDescent="0.25">
      <c r="B79" s="70" t="s">
        <v>48</v>
      </c>
      <c r="C79" s="61">
        <f>+C34*50</f>
        <v>35501.5</v>
      </c>
      <c r="D79" s="61">
        <f t="shared" si="21"/>
        <v>30502</v>
      </c>
      <c r="E79" s="61">
        <f t="shared" si="21"/>
        <v>16109.5</v>
      </c>
      <c r="F79" s="61">
        <f t="shared" ref="F79:F82" si="22">SUM(C79:E79)</f>
        <v>82113</v>
      </c>
    </row>
    <row r="80" spans="1:7" x14ac:dyDescent="0.25">
      <c r="B80" s="70" t="s">
        <v>49</v>
      </c>
      <c r="C80" s="61">
        <f>+C35*50</f>
        <v>0</v>
      </c>
      <c r="D80" s="61">
        <f t="shared" si="21"/>
        <v>0</v>
      </c>
      <c r="E80" s="61">
        <f t="shared" si="21"/>
        <v>0</v>
      </c>
      <c r="F80" s="61">
        <f t="shared" si="22"/>
        <v>0</v>
      </c>
    </row>
    <row r="81" spans="1:7" x14ac:dyDescent="0.25">
      <c r="B81" s="70" t="s">
        <v>50</v>
      </c>
      <c r="C81" s="61">
        <f>+C36*50</f>
        <v>0</v>
      </c>
      <c r="D81" s="61">
        <f t="shared" si="21"/>
        <v>0</v>
      </c>
      <c r="E81" s="61">
        <f t="shared" si="21"/>
        <v>0</v>
      </c>
      <c r="F81" s="61">
        <f t="shared" si="22"/>
        <v>0</v>
      </c>
    </row>
    <row r="82" spans="1:7" x14ac:dyDescent="0.25">
      <c r="B82" s="70" t="s">
        <v>51</v>
      </c>
      <c r="C82" s="61">
        <f>+C37*50</f>
        <v>0</v>
      </c>
      <c r="D82" s="61">
        <f t="shared" si="21"/>
        <v>0</v>
      </c>
      <c r="E82" s="61">
        <f t="shared" si="21"/>
        <v>0</v>
      </c>
      <c r="F82" s="61">
        <f t="shared" si="22"/>
        <v>0</v>
      </c>
    </row>
    <row r="83" spans="1:7" ht="15.75" thickBot="1" x14ac:dyDescent="0.3">
      <c r="B83" s="73" t="s">
        <v>79</v>
      </c>
      <c r="C83" s="49">
        <f>SUM(C78:C82)</f>
        <v>35501.5</v>
      </c>
      <c r="D83" s="49">
        <f t="shared" ref="D83:F83" si="23">SUM(D78:D82)</f>
        <v>30502</v>
      </c>
      <c r="E83" s="49">
        <f t="shared" si="23"/>
        <v>16109.5</v>
      </c>
      <c r="F83" s="49">
        <f t="shared" si="23"/>
        <v>82113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583.41202218430033</v>
      </c>
      <c r="D93" s="61">
        <f>+D38*J13</f>
        <v>479.54549785612193</v>
      </c>
      <c r="E93" s="61">
        <f>+E38*K13</f>
        <v>218.52886956521738</v>
      </c>
      <c r="F93" s="61">
        <f>SUM(C93:E93)</f>
        <v>1281.4863896056395</v>
      </c>
    </row>
    <row r="94" spans="1:7" x14ac:dyDescent="0.25">
      <c r="B94" s="70" t="s">
        <v>110</v>
      </c>
      <c r="C94" s="61">
        <f>+C38-C93</f>
        <v>126.61797781569965</v>
      </c>
      <c r="D94" s="61">
        <f t="shared" ref="D94:E94" si="24">+D38-D93</f>
        <v>130.49450214387804</v>
      </c>
      <c r="E94" s="61">
        <f t="shared" si="24"/>
        <v>103.66113043478262</v>
      </c>
      <c r="F94" s="61">
        <f t="shared" ref="F94" si="25">SUM(C94:E94)</f>
        <v>360.77361039436028</v>
      </c>
    </row>
    <row r="95" spans="1:7" x14ac:dyDescent="0.25">
      <c r="B95" s="73" t="s">
        <v>79</v>
      </c>
      <c r="C95" s="74">
        <f>SUM(C93:C94)</f>
        <v>710.03</v>
      </c>
      <c r="D95" s="74">
        <f>SUM(D93:D94)</f>
        <v>610.04</v>
      </c>
      <c r="E95" s="74">
        <f>SUM(E93:E94)</f>
        <v>322.19</v>
      </c>
      <c r="F95" s="74">
        <f>SUM(F93:F94)</f>
        <v>1642.2599999999998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116682.40443686006</v>
      </c>
      <c r="D98" s="61">
        <f t="shared" ref="D98" si="26">+D93*200</f>
        <v>95909.099571224389</v>
      </c>
      <c r="E98" s="61">
        <f>+E93*50</f>
        <v>10926.44347826087</v>
      </c>
      <c r="F98" s="61">
        <f>SUM(C98:E98)</f>
        <v>223517.94748634531</v>
      </c>
    </row>
    <row r="99" spans="2:6" x14ac:dyDescent="0.25">
      <c r="B99" s="70" t="s">
        <v>110</v>
      </c>
      <c r="C99" s="61">
        <f>+C94*70</f>
        <v>8863.258447098975</v>
      </c>
      <c r="D99" s="61">
        <f t="shared" ref="D99" si="27">+D94*70</f>
        <v>9134.6151500714623</v>
      </c>
      <c r="E99" s="88">
        <f>+'[1]Facility Fee'!$X$37*E38</f>
        <v>0</v>
      </c>
      <c r="F99" s="61">
        <f t="shared" ref="F99" si="28">SUM(C99:E99)</f>
        <v>17997.873597170437</v>
      </c>
    </row>
    <row r="100" spans="2:6" x14ac:dyDescent="0.25">
      <c r="B100" s="73" t="s">
        <v>79</v>
      </c>
      <c r="C100" s="74">
        <f>SUM(C98:C99)</f>
        <v>125545.66288395904</v>
      </c>
      <c r="D100" s="74">
        <f>SUM(D98:D99)</f>
        <v>105043.71472129585</v>
      </c>
      <c r="E100" s="74">
        <f>SUM(E98:E99)</f>
        <v>10926.44347826087</v>
      </c>
      <c r="F100" s="74">
        <f>SUM(F98:F99)</f>
        <v>241515.82108351574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S69"/>
  <sheetViews>
    <sheetView zoomScale="125" zoomScaleNormal="125" zoomScalePageLayoutView="125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AH20" sqref="AH20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9" width="10.7109375" style="2" customWidth="1"/>
    <col min="10" max="10" width="1.28515625" style="2" customWidth="1"/>
    <col min="11" max="17" width="10.7109375" style="2" customWidth="1"/>
    <col min="18" max="18" width="0.7109375" style="16" customWidth="1"/>
    <col min="19" max="25" width="10.7109375" style="2" customWidth="1"/>
    <col min="26" max="26" width="0.7109375" style="16" customWidth="1"/>
    <col min="27" max="33" width="10.7109375" style="2" customWidth="1"/>
    <col min="34" max="34" width="0.7109375" style="16" customWidth="1"/>
    <col min="35" max="41" width="10.7109375" style="2" customWidth="1"/>
    <col min="42" max="42" width="0.7109375" style="16" customWidth="1"/>
    <col min="43" max="49" width="10.7109375" style="2" customWidth="1"/>
    <col min="50" max="50" width="0.7109375" style="16" customWidth="1"/>
    <col min="51" max="57" width="10.7109375" style="2" customWidth="1"/>
    <col min="58" max="58" width="0.7109375" style="16" customWidth="1"/>
    <col min="59" max="65" width="10.7109375" style="2" customWidth="1"/>
    <col min="66" max="66" width="0.7109375" style="16" customWidth="1"/>
    <col min="67" max="73" width="10.7109375" style="2" customWidth="1"/>
    <col min="74" max="74" width="0.7109375" style="16" customWidth="1"/>
    <col min="75" max="81" width="10.7109375" style="2" customWidth="1"/>
    <col min="82" max="82" width="0.7109375" style="16" customWidth="1"/>
    <col min="83" max="83" width="10.7109375" style="2" customWidth="1"/>
    <col min="84" max="84" width="12.42578125" style="2" bestFit="1" customWidth="1"/>
    <col min="85" max="89" width="10.7109375" style="2" customWidth="1"/>
    <col min="90" max="90" width="2" style="2" customWidth="1"/>
    <col min="91" max="92" width="10.7109375" style="2" customWidth="1"/>
    <col min="93" max="93" width="12.85546875" style="100" bestFit="1" customWidth="1"/>
    <col min="94" max="94" width="10.7109375" style="2" customWidth="1"/>
    <col min="95" max="96" width="11.42578125" style="2" customWidth="1"/>
    <col min="97" max="97" width="15.28515625" style="11" bestFit="1" customWidth="1"/>
    <col min="98" max="189" width="11.42578125" style="2" customWidth="1"/>
    <col min="190" max="16384" width="8.85546875" style="2"/>
  </cols>
  <sheetData>
    <row r="1" spans="1:97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30"/>
      <c r="S1" s="5"/>
      <c r="T1" s="5"/>
      <c r="U1" s="5"/>
      <c r="V1" s="5"/>
      <c r="W1" s="5"/>
      <c r="X1" s="5"/>
      <c r="Y1" s="5"/>
      <c r="Z1" s="30"/>
      <c r="AA1" s="5"/>
      <c r="AB1" s="5"/>
      <c r="AC1" s="5"/>
      <c r="AD1" s="5"/>
      <c r="AE1" s="5"/>
      <c r="AF1" s="5"/>
      <c r="AG1" s="5"/>
      <c r="AH1" s="30"/>
      <c r="AI1" s="5"/>
      <c r="AJ1" s="5"/>
      <c r="AK1" s="5"/>
      <c r="AL1" s="5"/>
      <c r="AM1" s="5"/>
      <c r="AN1" s="5"/>
      <c r="AO1" s="5"/>
      <c r="AP1" s="30"/>
      <c r="AQ1" s="5"/>
      <c r="AR1" s="5"/>
      <c r="AS1" s="5"/>
      <c r="AT1" s="5"/>
      <c r="AU1" s="5"/>
      <c r="AV1" s="5"/>
      <c r="AW1" s="5"/>
      <c r="AX1" s="30"/>
      <c r="AY1" s="5"/>
      <c r="AZ1" s="5"/>
      <c r="BA1" s="5"/>
      <c r="BB1" s="5"/>
      <c r="BC1" s="5"/>
      <c r="BD1" s="5"/>
      <c r="BE1" s="5"/>
      <c r="BF1" s="30"/>
      <c r="BG1" s="5"/>
      <c r="BH1" s="5"/>
      <c r="BI1" s="5"/>
      <c r="BJ1" s="5"/>
      <c r="BK1" s="5"/>
      <c r="BL1" s="5"/>
      <c r="BM1" s="5"/>
      <c r="BN1" s="30"/>
      <c r="BO1" s="5"/>
      <c r="BP1" s="5"/>
      <c r="BQ1" s="5"/>
      <c r="BR1" s="5"/>
      <c r="BS1" s="5"/>
      <c r="BT1" s="5"/>
      <c r="BU1" s="5"/>
      <c r="BV1" s="30"/>
      <c r="BW1" s="5"/>
      <c r="BX1" s="5"/>
      <c r="BY1" s="5"/>
      <c r="BZ1" s="5"/>
      <c r="CA1" s="5"/>
      <c r="CB1" s="5"/>
      <c r="CC1" s="5"/>
      <c r="CD1" s="30"/>
      <c r="CE1" s="5"/>
      <c r="CF1" s="5"/>
      <c r="CG1" s="5"/>
      <c r="CH1" s="5"/>
      <c r="CI1" s="5"/>
      <c r="CJ1" s="5"/>
      <c r="CK1" s="5"/>
      <c r="CM1" s="5"/>
      <c r="CN1" s="5"/>
      <c r="CP1" s="5"/>
    </row>
    <row r="2" spans="1:97" x14ac:dyDescent="0.2">
      <c r="A2" s="4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31"/>
      <c r="S2" s="6"/>
      <c r="T2" s="6"/>
      <c r="U2" s="6"/>
      <c r="V2" s="148"/>
      <c r="W2" s="148"/>
      <c r="X2" s="6"/>
      <c r="Y2" s="6"/>
      <c r="Z2" s="31"/>
      <c r="AA2" s="6"/>
      <c r="AB2" s="6"/>
      <c r="AC2" s="6"/>
      <c r="AD2" s="148"/>
      <c r="AE2" s="148"/>
      <c r="AF2" s="6"/>
      <c r="AG2" s="6"/>
      <c r="AH2" s="31"/>
      <c r="AI2" s="6"/>
      <c r="AJ2" s="6"/>
      <c r="AK2" s="6"/>
      <c r="AL2" s="148"/>
      <c r="AM2" s="148"/>
      <c r="AN2" s="6"/>
      <c r="AO2" s="6"/>
      <c r="AP2" s="31"/>
      <c r="AQ2" s="6"/>
      <c r="AR2" s="6"/>
      <c r="AS2" s="6"/>
      <c r="AT2" s="148"/>
      <c r="AU2" s="148"/>
      <c r="AV2" s="6"/>
      <c r="AW2" s="6"/>
      <c r="AX2" s="31"/>
      <c r="AY2" s="6"/>
      <c r="AZ2" s="6"/>
      <c r="BA2" s="6"/>
      <c r="BB2" s="6"/>
      <c r="BC2" s="6"/>
      <c r="BD2" s="6"/>
      <c r="BE2" s="6"/>
      <c r="BF2" s="31"/>
      <c r="BG2" s="6"/>
      <c r="BH2" s="148"/>
      <c r="BI2" s="6"/>
      <c r="BJ2" s="148"/>
      <c r="BK2" s="148"/>
      <c r="BL2" s="6"/>
      <c r="BM2" s="6"/>
      <c r="BN2" s="31"/>
      <c r="BO2" s="6"/>
      <c r="BP2" s="6"/>
      <c r="BQ2" s="6"/>
      <c r="BR2" s="6"/>
      <c r="BS2" s="6"/>
      <c r="BT2" s="6"/>
      <c r="BU2" s="6"/>
      <c r="BV2" s="31"/>
      <c r="BW2" s="6"/>
      <c r="BX2" s="6"/>
      <c r="BY2" s="6"/>
      <c r="BZ2" s="6"/>
      <c r="CA2" s="6"/>
      <c r="CB2" s="6"/>
      <c r="CC2" s="6"/>
      <c r="CD2" s="31"/>
      <c r="CE2" s="6"/>
      <c r="CF2" s="6"/>
      <c r="CG2" s="6"/>
      <c r="CH2" s="6"/>
      <c r="CI2" s="6"/>
      <c r="CJ2" s="6"/>
      <c r="CK2" s="6"/>
      <c r="CM2" s="6"/>
      <c r="CN2" s="6"/>
      <c r="CP2" s="6"/>
    </row>
    <row r="3" spans="1:97" ht="15.75" customHeight="1" x14ac:dyDescent="0.2">
      <c r="A3" s="3" t="s">
        <v>90</v>
      </c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S3" s="16"/>
      <c r="T3" s="16"/>
      <c r="U3" s="16"/>
      <c r="V3" s="147"/>
      <c r="W3" s="147"/>
      <c r="X3" s="16"/>
      <c r="Y3" s="16"/>
      <c r="AA3" s="16"/>
      <c r="AB3" s="16"/>
      <c r="AC3" s="16"/>
      <c r="AD3" s="16"/>
      <c r="AE3" s="147"/>
      <c r="AF3" s="16"/>
      <c r="AG3" s="16"/>
      <c r="AI3" s="16"/>
      <c r="AJ3" s="16"/>
      <c r="AK3" s="16"/>
      <c r="AL3" s="16"/>
      <c r="AM3" s="16"/>
      <c r="AN3" s="16"/>
      <c r="AO3" s="16"/>
      <c r="AQ3" s="16"/>
      <c r="AR3" s="16"/>
      <c r="AS3" s="16"/>
      <c r="AT3" s="16"/>
      <c r="AU3" s="16"/>
      <c r="AV3" s="16"/>
      <c r="AW3" s="16"/>
      <c r="AY3" s="16"/>
      <c r="AZ3" s="16"/>
      <c r="BA3" s="16"/>
      <c r="BB3" s="16"/>
      <c r="BC3" s="16"/>
      <c r="BD3" s="16"/>
      <c r="BE3" s="16"/>
      <c r="BG3" s="16"/>
      <c r="BH3" s="16"/>
      <c r="BI3" s="16"/>
      <c r="BJ3" s="147"/>
      <c r="BK3" s="16"/>
      <c r="BL3" s="16"/>
      <c r="BM3" s="16"/>
      <c r="BO3" s="16"/>
      <c r="BP3" s="16"/>
      <c r="BQ3" s="16"/>
      <c r="BR3" s="16"/>
      <c r="BS3" s="16"/>
      <c r="BT3" s="16"/>
      <c r="BU3" s="16"/>
      <c r="BW3" s="16"/>
      <c r="BX3" s="16"/>
      <c r="BY3" s="16"/>
      <c r="BZ3" s="16"/>
      <c r="CA3" s="16"/>
      <c r="CB3" s="16"/>
      <c r="CC3" s="16"/>
      <c r="CE3" s="16"/>
      <c r="CF3" s="16"/>
      <c r="CG3" s="16"/>
      <c r="CH3" s="16"/>
      <c r="CI3" s="16"/>
      <c r="CJ3" s="16"/>
      <c r="CK3" s="16"/>
      <c r="CM3" s="16"/>
      <c r="CN3" s="16"/>
      <c r="CO3" s="135" t="s">
        <v>152</v>
      </c>
      <c r="CP3" s="16"/>
    </row>
    <row r="4" spans="1:97" ht="15.75" customHeight="1" x14ac:dyDescent="0.2">
      <c r="A4" s="3"/>
      <c r="B4" s="6"/>
      <c r="C4" s="144" t="s">
        <v>47</v>
      </c>
      <c r="D4" s="146"/>
      <c r="E4" s="146"/>
      <c r="F4" s="146"/>
      <c r="G4" s="146"/>
      <c r="H4" s="146"/>
      <c r="I4" s="145"/>
      <c r="J4" s="143"/>
      <c r="K4" s="144" t="s">
        <v>157</v>
      </c>
      <c r="L4" s="146"/>
      <c r="M4" s="146"/>
      <c r="N4" s="146"/>
      <c r="O4" s="146"/>
      <c r="P4" s="146"/>
      <c r="Q4" s="145"/>
      <c r="R4" s="143"/>
      <c r="S4" s="144" t="s">
        <v>48</v>
      </c>
      <c r="T4" s="146"/>
      <c r="U4" s="146"/>
      <c r="V4" s="146"/>
      <c r="W4" s="146"/>
      <c r="X4" s="146"/>
      <c r="Y4" s="145"/>
      <c r="Z4" s="143"/>
      <c r="AA4" s="144" t="s">
        <v>49</v>
      </c>
      <c r="AB4" s="146"/>
      <c r="AC4" s="146"/>
      <c r="AD4" s="146"/>
      <c r="AE4" s="146"/>
      <c r="AF4" s="146"/>
      <c r="AG4" s="145"/>
      <c r="AH4" s="143"/>
      <c r="AI4" s="144" t="s">
        <v>50</v>
      </c>
      <c r="AJ4" s="146"/>
      <c r="AK4" s="146"/>
      <c r="AL4" s="146"/>
      <c r="AM4" s="146"/>
      <c r="AN4" s="146"/>
      <c r="AO4" s="145"/>
      <c r="AP4" s="143"/>
      <c r="AQ4" s="144" t="s">
        <v>51</v>
      </c>
      <c r="AR4" s="146"/>
      <c r="AS4" s="146"/>
      <c r="AT4" s="146"/>
      <c r="AU4" s="146"/>
      <c r="AV4" s="146"/>
      <c r="AW4" s="145"/>
      <c r="AX4" s="143"/>
      <c r="AY4" s="144" t="s">
        <v>54</v>
      </c>
      <c r="AZ4" s="146"/>
      <c r="BA4" s="146"/>
      <c r="BB4" s="146"/>
      <c r="BC4" s="146"/>
      <c r="BD4" s="146"/>
      <c r="BE4" s="145"/>
      <c r="BF4" s="143"/>
      <c r="BG4" s="144" t="s">
        <v>80</v>
      </c>
      <c r="BH4" s="146"/>
      <c r="BI4" s="146"/>
      <c r="BJ4" s="146"/>
      <c r="BK4" s="146"/>
      <c r="BL4" s="146"/>
      <c r="BM4" s="145"/>
      <c r="BN4" s="143"/>
      <c r="BO4" s="144" t="s">
        <v>81</v>
      </c>
      <c r="BP4" s="146"/>
      <c r="BQ4" s="146"/>
      <c r="BR4" s="146"/>
      <c r="BS4" s="146"/>
      <c r="BT4" s="146"/>
      <c r="BU4" s="145"/>
      <c r="BV4" s="143"/>
      <c r="BW4" s="144" t="s">
        <v>78</v>
      </c>
      <c r="BX4" s="146"/>
      <c r="BY4" s="146"/>
      <c r="BZ4" s="146"/>
      <c r="CA4" s="146"/>
      <c r="CB4" s="146"/>
      <c r="CC4" s="145"/>
      <c r="CD4" s="143"/>
      <c r="CE4" s="144" t="s">
        <v>79</v>
      </c>
      <c r="CF4" s="146"/>
      <c r="CG4" s="146"/>
      <c r="CH4" s="146"/>
      <c r="CI4" s="146"/>
      <c r="CJ4" s="146"/>
      <c r="CK4" s="145"/>
      <c r="CM4" s="144" t="s">
        <v>149</v>
      </c>
      <c r="CN4" s="145"/>
      <c r="CO4" s="130" t="s">
        <v>150</v>
      </c>
      <c r="CP4" s="121" t="s">
        <v>151</v>
      </c>
    </row>
    <row r="5" spans="1:97" ht="22.5" x14ac:dyDescent="0.2">
      <c r="A5" s="3"/>
      <c r="B5" s="6"/>
      <c r="C5" s="29" t="s">
        <v>93</v>
      </c>
      <c r="D5" s="29" t="s">
        <v>94</v>
      </c>
      <c r="E5" s="29" t="s">
        <v>95</v>
      </c>
      <c r="F5" s="29">
        <v>2016</v>
      </c>
      <c r="G5" s="29">
        <v>2017</v>
      </c>
      <c r="H5" s="29" t="s">
        <v>91</v>
      </c>
      <c r="I5" s="29" t="s">
        <v>92</v>
      </c>
      <c r="J5" s="32"/>
      <c r="K5" s="29" t="s">
        <v>93</v>
      </c>
      <c r="L5" s="29" t="s">
        <v>94</v>
      </c>
      <c r="M5" s="29" t="s">
        <v>95</v>
      </c>
      <c r="N5" s="29">
        <v>2016</v>
      </c>
      <c r="O5" s="29">
        <v>2017</v>
      </c>
      <c r="P5" s="29" t="s">
        <v>91</v>
      </c>
      <c r="Q5" s="29" t="s">
        <v>92</v>
      </c>
      <c r="R5" s="32"/>
      <c r="S5" s="29" t="s">
        <v>93</v>
      </c>
      <c r="T5" s="29" t="s">
        <v>94</v>
      </c>
      <c r="U5" s="29" t="s">
        <v>95</v>
      </c>
      <c r="V5" s="29">
        <v>2016</v>
      </c>
      <c r="W5" s="29">
        <v>2017</v>
      </c>
      <c r="X5" s="29" t="s">
        <v>91</v>
      </c>
      <c r="Y5" s="29" t="s">
        <v>92</v>
      </c>
      <c r="Z5" s="32"/>
      <c r="AA5" s="29" t="s">
        <v>93</v>
      </c>
      <c r="AB5" s="29" t="s">
        <v>94</v>
      </c>
      <c r="AC5" s="29" t="s">
        <v>95</v>
      </c>
      <c r="AD5" s="29">
        <v>2016</v>
      </c>
      <c r="AE5" s="29">
        <v>2017</v>
      </c>
      <c r="AF5" s="29" t="s">
        <v>91</v>
      </c>
      <c r="AG5" s="29" t="s">
        <v>92</v>
      </c>
      <c r="AH5" s="32"/>
      <c r="AI5" s="29" t="s">
        <v>93</v>
      </c>
      <c r="AJ5" s="29" t="s">
        <v>94</v>
      </c>
      <c r="AK5" s="29" t="s">
        <v>95</v>
      </c>
      <c r="AL5" s="29">
        <v>2016</v>
      </c>
      <c r="AM5" s="29">
        <v>2017</v>
      </c>
      <c r="AN5" s="29" t="s">
        <v>91</v>
      </c>
      <c r="AO5" s="29" t="s">
        <v>92</v>
      </c>
      <c r="AP5" s="32"/>
      <c r="AQ5" s="29" t="s">
        <v>93</v>
      </c>
      <c r="AR5" s="29" t="s">
        <v>94</v>
      </c>
      <c r="AS5" s="29" t="s">
        <v>95</v>
      </c>
      <c r="AT5" s="29">
        <v>2016</v>
      </c>
      <c r="AU5" s="29">
        <v>2017</v>
      </c>
      <c r="AV5" s="29" t="s">
        <v>91</v>
      </c>
      <c r="AW5" s="29" t="s">
        <v>92</v>
      </c>
      <c r="AX5" s="32"/>
      <c r="AY5" s="29" t="s">
        <v>93</v>
      </c>
      <c r="AZ5" s="29" t="s">
        <v>94</v>
      </c>
      <c r="BA5" s="29" t="s">
        <v>95</v>
      </c>
      <c r="BB5" s="29">
        <v>2016</v>
      </c>
      <c r="BC5" s="29">
        <v>2017</v>
      </c>
      <c r="BD5" s="29" t="s">
        <v>91</v>
      </c>
      <c r="BE5" s="29" t="s">
        <v>92</v>
      </c>
      <c r="BF5" s="32"/>
      <c r="BG5" s="29" t="s">
        <v>93</v>
      </c>
      <c r="BH5" s="29" t="s">
        <v>94</v>
      </c>
      <c r="BI5" s="29" t="s">
        <v>95</v>
      </c>
      <c r="BJ5" s="29">
        <v>2016</v>
      </c>
      <c r="BK5" s="29">
        <v>2017</v>
      </c>
      <c r="BL5" s="29" t="s">
        <v>91</v>
      </c>
      <c r="BM5" s="29" t="s">
        <v>92</v>
      </c>
      <c r="BN5" s="32"/>
      <c r="BO5" s="29" t="s">
        <v>93</v>
      </c>
      <c r="BP5" s="29" t="s">
        <v>94</v>
      </c>
      <c r="BQ5" s="29" t="s">
        <v>95</v>
      </c>
      <c r="BR5" s="29">
        <v>2016</v>
      </c>
      <c r="BS5" s="29">
        <v>2017</v>
      </c>
      <c r="BT5" s="29" t="s">
        <v>91</v>
      </c>
      <c r="BU5" s="29" t="s">
        <v>92</v>
      </c>
      <c r="BV5" s="32"/>
      <c r="BW5" s="29" t="s">
        <v>93</v>
      </c>
      <c r="BX5" s="29" t="s">
        <v>94</v>
      </c>
      <c r="BY5" s="29" t="s">
        <v>95</v>
      </c>
      <c r="BZ5" s="29">
        <v>2016</v>
      </c>
      <c r="CA5" s="29">
        <v>2017</v>
      </c>
      <c r="CB5" s="29" t="s">
        <v>91</v>
      </c>
      <c r="CC5" s="29" t="s">
        <v>92</v>
      </c>
      <c r="CD5" s="32"/>
      <c r="CE5" s="29" t="s">
        <v>93</v>
      </c>
      <c r="CF5" s="29" t="s">
        <v>94</v>
      </c>
      <c r="CG5" s="29" t="s">
        <v>95</v>
      </c>
      <c r="CH5" s="29">
        <v>2016</v>
      </c>
      <c r="CI5" s="29">
        <v>2017</v>
      </c>
      <c r="CJ5" s="29" t="s">
        <v>91</v>
      </c>
      <c r="CK5" s="29" t="s">
        <v>92</v>
      </c>
      <c r="CM5" s="29">
        <v>2015</v>
      </c>
      <c r="CN5" s="29">
        <v>2016</v>
      </c>
      <c r="CO5" s="133">
        <v>700000</v>
      </c>
      <c r="CP5" s="122">
        <v>2017</v>
      </c>
      <c r="CR5" s="101"/>
      <c r="CS5" s="140" t="s">
        <v>142</v>
      </c>
    </row>
    <row r="6" spans="1:97" x14ac:dyDescent="0.2">
      <c r="B6" s="8" t="s">
        <v>58</v>
      </c>
      <c r="C6" s="22">
        <v>176825.47</v>
      </c>
      <c r="D6" s="23">
        <v>168733.62</v>
      </c>
      <c r="E6" s="23">
        <v>-8091.8500000000058</v>
      </c>
      <c r="F6" s="23">
        <v>177064</v>
      </c>
      <c r="G6" s="23">
        <v>174066</v>
      </c>
      <c r="H6" s="23">
        <v>-2759.4700000000012</v>
      </c>
      <c r="I6" s="24">
        <v>-2998</v>
      </c>
      <c r="J6" s="23"/>
      <c r="K6" s="22">
        <v>0</v>
      </c>
      <c r="L6" s="23">
        <v>0</v>
      </c>
      <c r="M6" s="23">
        <v>0</v>
      </c>
      <c r="N6" s="23">
        <v>0</v>
      </c>
      <c r="O6" s="23">
        <v>41388.656531219538</v>
      </c>
      <c r="P6" s="23">
        <v>41388.656531219538</v>
      </c>
      <c r="Q6" s="24">
        <v>41388.656531219538</v>
      </c>
      <c r="R6" s="23"/>
      <c r="S6" s="22">
        <v>1006758</v>
      </c>
      <c r="T6" s="23">
        <v>920253.07</v>
      </c>
      <c r="U6" s="23">
        <v>-86504.930000000051</v>
      </c>
      <c r="V6" s="23">
        <v>895544</v>
      </c>
      <c r="W6" s="23">
        <v>972991.26467399264</v>
      </c>
      <c r="X6" s="23">
        <v>-33766.735326007358</v>
      </c>
      <c r="Y6" s="24">
        <v>77447.264673992642</v>
      </c>
      <c r="Z6" s="23"/>
      <c r="AA6" s="22">
        <v>822571.25</v>
      </c>
      <c r="AB6" s="23">
        <v>746797.67</v>
      </c>
      <c r="AC6" s="23">
        <v>-75773.579999999958</v>
      </c>
      <c r="AD6" s="23">
        <v>828299</v>
      </c>
      <c r="AE6" s="23">
        <v>782836</v>
      </c>
      <c r="AF6" s="23">
        <v>36038.329999999958</v>
      </c>
      <c r="AG6" s="24">
        <v>-45463</v>
      </c>
      <c r="AH6" s="23"/>
      <c r="AI6" s="22">
        <v>466292.45</v>
      </c>
      <c r="AJ6" s="23">
        <v>413146.87</v>
      </c>
      <c r="AK6" s="23">
        <v>-53145.580000000016</v>
      </c>
      <c r="AL6" s="23">
        <f>445563</f>
        <v>445563</v>
      </c>
      <c r="AM6" s="23">
        <f>501309.8+20000</f>
        <v>521309.8</v>
      </c>
      <c r="AN6" s="23">
        <v>35017.350000000035</v>
      </c>
      <c r="AO6" s="24">
        <v>55746.800000000047</v>
      </c>
      <c r="AP6" s="23"/>
      <c r="AQ6" s="22">
        <v>428869.18999999994</v>
      </c>
      <c r="AR6" s="23">
        <v>404496.34</v>
      </c>
      <c r="AS6" s="23">
        <v>-24372.849999999919</v>
      </c>
      <c r="AT6" s="23">
        <v>427819</v>
      </c>
      <c r="AU6" s="23">
        <v>378674</v>
      </c>
      <c r="AV6" s="23">
        <v>-50195.189999999944</v>
      </c>
      <c r="AW6" s="24">
        <v>-49145</v>
      </c>
      <c r="AX6" s="23"/>
      <c r="AY6" s="22">
        <v>248505.85419500002</v>
      </c>
      <c r="AZ6" s="23">
        <v>234305.3</v>
      </c>
      <c r="BA6" s="23">
        <v>-14200.554195000033</v>
      </c>
      <c r="BB6" s="23">
        <v>240851</v>
      </c>
      <c r="BC6" s="23">
        <v>236870.10914160786</v>
      </c>
      <c r="BD6" s="23">
        <v>-11635.745053392166</v>
      </c>
      <c r="BE6" s="24">
        <v>-3980.8908583921439</v>
      </c>
      <c r="BF6" s="23"/>
      <c r="BG6" s="22">
        <v>1784960.0322749999</v>
      </c>
      <c r="BH6" s="23">
        <v>1505823.5799999998</v>
      </c>
      <c r="BI6" s="23">
        <v>-279136.45227500005</v>
      </c>
      <c r="BJ6" s="23">
        <v>1598803</v>
      </c>
      <c r="BK6" s="23">
        <v>1658789.8233369952</v>
      </c>
      <c r="BL6" s="23">
        <v>-126170.20893800468</v>
      </c>
      <c r="BM6" s="24">
        <v>59986.823336995207</v>
      </c>
      <c r="BN6" s="23"/>
      <c r="BO6" s="22">
        <v>692412.85500000021</v>
      </c>
      <c r="BP6" s="23">
        <v>735214.90000000014</v>
      </c>
      <c r="BQ6" s="23">
        <v>42802.044999999925</v>
      </c>
      <c r="BR6" s="23">
        <v>528871</v>
      </c>
      <c r="BS6" s="23">
        <v>626669.72466220171</v>
      </c>
      <c r="BT6" s="23">
        <v>-65743.130337798502</v>
      </c>
      <c r="BU6" s="24">
        <v>97798.724662201712</v>
      </c>
      <c r="BV6" s="23"/>
      <c r="BW6" s="22">
        <v>474782.89397499996</v>
      </c>
      <c r="BX6" s="23">
        <v>369470.36</v>
      </c>
      <c r="BY6" s="23">
        <v>-105312.53397499997</v>
      </c>
      <c r="BZ6" s="23">
        <v>364902</v>
      </c>
      <c r="CA6" s="23">
        <v>454373.64551924134</v>
      </c>
      <c r="CB6" s="23">
        <v>-20409.248455758614</v>
      </c>
      <c r="CC6" s="24">
        <v>89471.645519241341</v>
      </c>
      <c r="CD6" s="23"/>
      <c r="CE6" s="105">
        <v>6101977.995445</v>
      </c>
      <c r="CF6" s="106">
        <v>5498241.71</v>
      </c>
      <c r="CG6" s="106">
        <v>-603736.28544500005</v>
      </c>
      <c r="CH6" s="106">
        <v>5507716</v>
      </c>
      <c r="CI6" s="106">
        <v>5827969.0238652583</v>
      </c>
      <c r="CJ6" s="106">
        <v>-274008.97157974169</v>
      </c>
      <c r="CK6" s="107">
        <v>320253.02386525832</v>
      </c>
      <c r="CM6" s="109">
        <v>-4.4904942591448824E-2</v>
      </c>
      <c r="CN6" s="113">
        <v>5.814624862016457E-2</v>
      </c>
      <c r="CO6" s="126"/>
      <c r="CP6" s="123">
        <v>5827969.0238652583</v>
      </c>
      <c r="CR6" s="103" t="s">
        <v>112</v>
      </c>
      <c r="CS6" s="140">
        <v>7753531.9442625009</v>
      </c>
    </row>
    <row r="7" spans="1:97" x14ac:dyDescent="0.2">
      <c r="B7" s="8" t="s">
        <v>59</v>
      </c>
      <c r="C7" s="22"/>
      <c r="D7" s="23"/>
      <c r="E7" s="23">
        <v>0</v>
      </c>
      <c r="F7" s="23">
        <v>278</v>
      </c>
      <c r="G7" s="23">
        <v>5196.5</v>
      </c>
      <c r="H7" s="23">
        <v>5196.5</v>
      </c>
      <c r="I7" s="24">
        <v>4918.5</v>
      </c>
      <c r="J7" s="23"/>
      <c r="K7" s="22">
        <v>0</v>
      </c>
      <c r="L7" s="23">
        <v>0</v>
      </c>
      <c r="M7" s="23">
        <v>0</v>
      </c>
      <c r="N7" s="23">
        <v>0</v>
      </c>
      <c r="O7" s="23">
        <v>2111.2374432292054</v>
      </c>
      <c r="P7" s="23">
        <v>2111.2374432292054</v>
      </c>
      <c r="Q7" s="24">
        <v>2111.2374432292054</v>
      </c>
      <c r="R7" s="23"/>
      <c r="S7" s="22"/>
      <c r="T7" s="23"/>
      <c r="U7" s="23">
        <v>0</v>
      </c>
      <c r="V7" s="23">
        <v>16712</v>
      </c>
      <c r="W7" s="23">
        <v>24836.084249084255</v>
      </c>
      <c r="X7" s="23">
        <v>24836.084249084255</v>
      </c>
      <c r="Y7" s="24">
        <v>8124.0842490842551</v>
      </c>
      <c r="Z7" s="23"/>
      <c r="AA7" s="22"/>
      <c r="AB7" s="23"/>
      <c r="AC7" s="23">
        <v>0</v>
      </c>
      <c r="AD7" s="23"/>
      <c r="AE7" s="23">
        <v>9682.1153846153829</v>
      </c>
      <c r="AF7" s="23">
        <v>9682.1153846153829</v>
      </c>
      <c r="AG7" s="24">
        <v>9682.1153846153829</v>
      </c>
      <c r="AH7" s="23"/>
      <c r="AI7" s="22"/>
      <c r="AJ7" s="23"/>
      <c r="AK7" s="23">
        <v>0</v>
      </c>
      <c r="AL7" s="23">
        <v>8270</v>
      </c>
      <c r="AM7" s="23">
        <v>13377.11538461539</v>
      </c>
      <c r="AN7" s="23">
        <v>13377.11538461539</v>
      </c>
      <c r="AO7" s="24">
        <v>5107.1153846153902</v>
      </c>
      <c r="AP7" s="23"/>
      <c r="AQ7" s="22"/>
      <c r="AR7" s="23"/>
      <c r="AS7" s="23">
        <v>0</v>
      </c>
      <c r="AT7" s="23">
        <v>9695</v>
      </c>
      <c r="AU7" s="23">
        <v>10855.846153846156</v>
      </c>
      <c r="AV7" s="23">
        <v>10855.846153846156</v>
      </c>
      <c r="AW7" s="24">
        <v>1160.8461538461561</v>
      </c>
      <c r="AX7" s="23"/>
      <c r="AY7" s="22"/>
      <c r="AZ7" s="23"/>
      <c r="BA7" s="23">
        <v>0</v>
      </c>
      <c r="BB7" s="23">
        <v>7326</v>
      </c>
      <c r="BC7" s="23">
        <v>5973.7757578980036</v>
      </c>
      <c r="BD7" s="23">
        <v>5973.7757578980036</v>
      </c>
      <c r="BE7" s="24">
        <v>-1352.2242421019964</v>
      </c>
      <c r="BF7" s="23"/>
      <c r="BG7" s="22"/>
      <c r="BH7" s="23"/>
      <c r="BI7" s="23">
        <v>0</v>
      </c>
      <c r="BJ7" s="23">
        <v>42804</v>
      </c>
      <c r="BK7" s="23">
        <v>33924.344143157017</v>
      </c>
      <c r="BL7" s="23">
        <v>33924.344143157017</v>
      </c>
      <c r="BM7" s="24">
        <v>-8879.6558568429828</v>
      </c>
      <c r="BN7" s="23"/>
      <c r="BO7" s="22"/>
      <c r="BP7" s="23"/>
      <c r="BQ7" s="23">
        <v>0</v>
      </c>
      <c r="BR7" s="23">
        <v>9948</v>
      </c>
      <c r="BS7" s="23">
        <v>15545.569581323069</v>
      </c>
      <c r="BT7" s="23">
        <v>15545.569581323069</v>
      </c>
      <c r="BU7" s="24">
        <v>5597.5695813230686</v>
      </c>
      <c r="BV7" s="23"/>
      <c r="BW7" s="22"/>
      <c r="BX7" s="23"/>
      <c r="BY7" s="23">
        <v>0</v>
      </c>
      <c r="BZ7" s="23">
        <v>17068</v>
      </c>
      <c r="CA7" s="23">
        <v>10371.870026509743</v>
      </c>
      <c r="CB7" s="23">
        <v>10371.870026509743</v>
      </c>
      <c r="CC7" s="24">
        <v>-6696.1299734902568</v>
      </c>
      <c r="CD7" s="23"/>
      <c r="CE7" s="22">
        <v>0</v>
      </c>
      <c r="CF7" s="23">
        <v>0</v>
      </c>
      <c r="CG7" s="23">
        <v>0</v>
      </c>
      <c r="CH7" s="23">
        <v>112101</v>
      </c>
      <c r="CI7" s="23">
        <v>131874.45812427823</v>
      </c>
      <c r="CJ7" s="23">
        <v>131874.45812427823</v>
      </c>
      <c r="CK7" s="24">
        <v>19773.45812427823</v>
      </c>
      <c r="CM7" s="111">
        <v>0</v>
      </c>
      <c r="CN7" s="114">
        <v>0.17638966757012184</v>
      </c>
      <c r="CO7" s="126"/>
      <c r="CP7" s="124">
        <v>131874.45812427823</v>
      </c>
      <c r="CR7" s="103" t="s">
        <v>113</v>
      </c>
      <c r="CS7" s="140">
        <v>278962</v>
      </c>
    </row>
    <row r="8" spans="1:97" x14ac:dyDescent="0.2">
      <c r="B8" s="8" t="s">
        <v>60</v>
      </c>
      <c r="C8" s="22"/>
      <c r="D8" s="23"/>
      <c r="E8" s="23">
        <v>0</v>
      </c>
      <c r="F8" s="23">
        <v>0</v>
      </c>
      <c r="G8" s="23">
        <v>0</v>
      </c>
      <c r="H8" s="23">
        <v>0</v>
      </c>
      <c r="I8" s="24">
        <v>0</v>
      </c>
      <c r="J8" s="23"/>
      <c r="K8" s="22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4">
        <v>0</v>
      </c>
      <c r="R8" s="23"/>
      <c r="S8" s="22"/>
      <c r="T8" s="23"/>
      <c r="U8" s="23">
        <v>0</v>
      </c>
      <c r="V8" s="23">
        <v>168833</v>
      </c>
      <c r="W8" s="23">
        <v>82401.119999999995</v>
      </c>
      <c r="X8" s="23">
        <v>82401.119999999995</v>
      </c>
      <c r="Y8" s="24">
        <v>-86431.88</v>
      </c>
      <c r="Z8" s="23"/>
      <c r="AA8" s="22"/>
      <c r="AB8" s="23"/>
      <c r="AC8" s="23">
        <v>0</v>
      </c>
      <c r="AD8" s="23"/>
      <c r="AE8" s="23">
        <v>35023</v>
      </c>
      <c r="AF8" s="23">
        <v>35023</v>
      </c>
      <c r="AG8" s="24">
        <v>35023</v>
      </c>
      <c r="AH8" s="23"/>
      <c r="AI8" s="22"/>
      <c r="AJ8" s="23"/>
      <c r="AK8" s="23">
        <v>0</v>
      </c>
      <c r="AL8" s="23">
        <v>34936</v>
      </c>
      <c r="AM8" s="23">
        <v>22929</v>
      </c>
      <c r="AN8" s="23">
        <v>22929</v>
      </c>
      <c r="AO8" s="24">
        <v>-12007</v>
      </c>
      <c r="AP8" s="23"/>
      <c r="AQ8" s="22"/>
      <c r="AR8" s="23"/>
      <c r="AS8" s="23">
        <v>0</v>
      </c>
      <c r="AT8" s="23">
        <v>23299</v>
      </c>
      <c r="AU8" s="23">
        <v>76286</v>
      </c>
      <c r="AV8" s="23">
        <v>76286</v>
      </c>
      <c r="AW8" s="24">
        <v>52987</v>
      </c>
      <c r="AX8" s="23"/>
      <c r="AY8" s="22"/>
      <c r="AZ8" s="23"/>
      <c r="BA8" s="23">
        <v>0</v>
      </c>
      <c r="BB8" s="23">
        <v>32886</v>
      </c>
      <c r="BC8" s="23">
        <v>62892</v>
      </c>
      <c r="BD8" s="23">
        <v>62892</v>
      </c>
      <c r="BE8" s="24">
        <v>30006</v>
      </c>
      <c r="BF8" s="23"/>
      <c r="BG8" s="22"/>
      <c r="BH8" s="23"/>
      <c r="BI8" s="23">
        <v>0</v>
      </c>
      <c r="BJ8" s="23">
        <v>166984</v>
      </c>
      <c r="BK8" s="23">
        <v>87110.576923076937</v>
      </c>
      <c r="BL8" s="23">
        <v>87110.576923076937</v>
      </c>
      <c r="BM8" s="24">
        <v>-79873.423076923063</v>
      </c>
      <c r="BN8" s="23"/>
      <c r="BO8" s="22"/>
      <c r="BP8" s="23"/>
      <c r="BQ8" s="23">
        <v>0</v>
      </c>
      <c r="BR8" s="23">
        <v>107101</v>
      </c>
      <c r="BS8" s="23">
        <v>29718</v>
      </c>
      <c r="BT8" s="23">
        <v>29718</v>
      </c>
      <c r="BU8" s="24">
        <v>-77383</v>
      </c>
      <c r="BV8" s="23"/>
      <c r="BW8" s="22"/>
      <c r="BX8" s="23"/>
      <c r="BY8" s="23">
        <v>0</v>
      </c>
      <c r="BZ8" s="23">
        <v>89697</v>
      </c>
      <c r="CA8" s="23">
        <v>30168</v>
      </c>
      <c r="CB8" s="23">
        <v>30168</v>
      </c>
      <c r="CC8" s="24">
        <v>-59529</v>
      </c>
      <c r="CD8" s="23"/>
      <c r="CE8" s="22">
        <v>0</v>
      </c>
      <c r="CF8" s="23">
        <v>0</v>
      </c>
      <c r="CG8" s="23">
        <v>0</v>
      </c>
      <c r="CH8" s="23">
        <v>623736</v>
      </c>
      <c r="CI8" s="23">
        <v>426527.69692307693</v>
      </c>
      <c r="CJ8" s="23">
        <v>426527.69692307693</v>
      </c>
      <c r="CK8" s="24">
        <v>-197208.30307692307</v>
      </c>
      <c r="CM8" s="111">
        <v>0</v>
      </c>
      <c r="CN8" s="114">
        <v>-0.31617271261707369</v>
      </c>
      <c r="CO8" s="126"/>
      <c r="CP8" s="124">
        <v>426527.69692307693</v>
      </c>
      <c r="CR8" s="103" t="s">
        <v>114</v>
      </c>
      <c r="CS8" s="140">
        <v>820675.5</v>
      </c>
    </row>
    <row r="9" spans="1:97" x14ac:dyDescent="0.2">
      <c r="B9" s="8" t="s">
        <v>61</v>
      </c>
      <c r="C9" s="22"/>
      <c r="D9" s="23"/>
      <c r="E9" s="23">
        <v>0</v>
      </c>
      <c r="F9" s="23">
        <v>0</v>
      </c>
      <c r="G9" s="23">
        <v>0</v>
      </c>
      <c r="H9" s="23">
        <v>0</v>
      </c>
      <c r="I9" s="24">
        <v>0</v>
      </c>
      <c r="J9" s="23"/>
      <c r="K9" s="22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4">
        <v>0</v>
      </c>
      <c r="R9" s="23"/>
      <c r="S9" s="22"/>
      <c r="T9" s="23"/>
      <c r="U9" s="23">
        <v>0</v>
      </c>
      <c r="V9" s="23">
        <v>0</v>
      </c>
      <c r="W9" s="23">
        <v>0</v>
      </c>
      <c r="X9" s="23">
        <v>0</v>
      </c>
      <c r="Y9" s="24">
        <v>0</v>
      </c>
      <c r="Z9" s="23"/>
      <c r="AA9" s="22"/>
      <c r="AB9" s="23"/>
      <c r="AC9" s="23">
        <v>0</v>
      </c>
      <c r="AD9" s="23"/>
      <c r="AE9" s="23">
        <v>0</v>
      </c>
      <c r="AF9" s="23">
        <v>0</v>
      </c>
      <c r="AG9" s="24">
        <v>0</v>
      </c>
      <c r="AH9" s="23"/>
      <c r="AI9" s="22"/>
      <c r="AJ9" s="23"/>
      <c r="AK9" s="23">
        <v>0</v>
      </c>
      <c r="AL9" s="23">
        <v>17468</v>
      </c>
      <c r="AM9" s="23">
        <v>0</v>
      </c>
      <c r="AN9" s="23">
        <v>0</v>
      </c>
      <c r="AO9" s="24">
        <v>-17468</v>
      </c>
      <c r="AP9" s="23"/>
      <c r="AQ9" s="22"/>
      <c r="AR9" s="23"/>
      <c r="AS9" s="23">
        <v>0</v>
      </c>
      <c r="AT9" s="23">
        <v>0</v>
      </c>
      <c r="AU9" s="23">
        <v>12149</v>
      </c>
      <c r="AV9" s="23">
        <v>12149</v>
      </c>
      <c r="AW9" s="24">
        <v>12149</v>
      </c>
      <c r="AX9" s="23"/>
      <c r="AY9" s="22"/>
      <c r="AZ9" s="23"/>
      <c r="BA9" s="23">
        <v>0</v>
      </c>
      <c r="BB9" s="23">
        <v>0</v>
      </c>
      <c r="BC9" s="23">
        <v>0</v>
      </c>
      <c r="BD9" s="23">
        <v>0</v>
      </c>
      <c r="BE9" s="24">
        <v>0</v>
      </c>
      <c r="BF9" s="23"/>
      <c r="BG9" s="22"/>
      <c r="BH9" s="23"/>
      <c r="BI9" s="23">
        <v>0</v>
      </c>
      <c r="BJ9" s="23">
        <v>0</v>
      </c>
      <c r="BK9" s="23">
        <v>0</v>
      </c>
      <c r="BL9" s="23">
        <v>0</v>
      </c>
      <c r="BM9" s="24">
        <v>0</v>
      </c>
      <c r="BN9" s="23"/>
      <c r="BO9" s="22"/>
      <c r="BP9" s="23"/>
      <c r="BQ9" s="23">
        <v>0</v>
      </c>
      <c r="BR9" s="23">
        <v>0</v>
      </c>
      <c r="BS9" s="23">
        <v>0</v>
      </c>
      <c r="BT9" s="23">
        <v>0</v>
      </c>
      <c r="BU9" s="24">
        <v>0</v>
      </c>
      <c r="BV9" s="23"/>
      <c r="BW9" s="22"/>
      <c r="BX9" s="23"/>
      <c r="BY9" s="23">
        <v>0</v>
      </c>
      <c r="BZ9" s="23">
        <v>0</v>
      </c>
      <c r="CA9" s="23">
        <v>0</v>
      </c>
      <c r="CB9" s="23">
        <v>0</v>
      </c>
      <c r="CC9" s="24">
        <v>0</v>
      </c>
      <c r="CD9" s="23"/>
      <c r="CE9" s="22">
        <v>0</v>
      </c>
      <c r="CF9" s="23">
        <v>0</v>
      </c>
      <c r="CG9" s="23">
        <v>0</v>
      </c>
      <c r="CH9" s="23">
        <v>17468</v>
      </c>
      <c r="CI9" s="23">
        <v>12149</v>
      </c>
      <c r="CJ9" s="23">
        <v>12149</v>
      </c>
      <c r="CK9" s="24">
        <v>-5319</v>
      </c>
      <c r="CM9" s="111">
        <v>0</v>
      </c>
      <c r="CN9" s="114">
        <v>-0.30449965651476985</v>
      </c>
      <c r="CO9" s="126">
        <v>0</v>
      </c>
      <c r="CP9" s="124">
        <v>12149</v>
      </c>
      <c r="CR9" s="103" t="s">
        <v>159</v>
      </c>
      <c r="CS9" s="140">
        <v>96000</v>
      </c>
    </row>
    <row r="10" spans="1:97" x14ac:dyDescent="0.2">
      <c r="B10" s="8" t="s">
        <v>3</v>
      </c>
      <c r="C10" s="22">
        <v>8045.81</v>
      </c>
      <c r="D10" s="23">
        <v>7385.05</v>
      </c>
      <c r="E10" s="23">
        <v>-660.76000000000022</v>
      </c>
      <c r="F10" s="23">
        <v>8085</v>
      </c>
      <c r="G10" s="23">
        <v>7587</v>
      </c>
      <c r="H10" s="23">
        <v>-458.8100000000004</v>
      </c>
      <c r="I10" s="24">
        <v>-498</v>
      </c>
      <c r="J10" s="23"/>
      <c r="K10" s="22">
        <v>0</v>
      </c>
      <c r="L10" s="23">
        <v>0</v>
      </c>
      <c r="M10" s="23">
        <v>0</v>
      </c>
      <c r="N10" s="23">
        <v>0</v>
      </c>
      <c r="O10" s="23">
        <v>2100</v>
      </c>
      <c r="P10" s="23">
        <v>2100</v>
      </c>
      <c r="Q10" s="24">
        <v>2100</v>
      </c>
      <c r="R10" s="23"/>
      <c r="S10" s="22">
        <v>71876</v>
      </c>
      <c r="T10" s="23">
        <v>59913.729999999996</v>
      </c>
      <c r="U10" s="23">
        <v>-11962.270000000004</v>
      </c>
      <c r="V10" s="23">
        <v>81081</v>
      </c>
      <c r="W10" s="23">
        <v>65034.534207692304</v>
      </c>
      <c r="X10" s="23">
        <v>-6841.4657923076957</v>
      </c>
      <c r="Y10" s="24">
        <v>-16046.465792307696</v>
      </c>
      <c r="Z10" s="23"/>
      <c r="AA10" s="22">
        <v>57035.72</v>
      </c>
      <c r="AB10" s="23">
        <v>44998.79</v>
      </c>
      <c r="AC10" s="23">
        <v>-12036.93</v>
      </c>
      <c r="AD10" s="23">
        <v>58118</v>
      </c>
      <c r="AE10" s="23">
        <v>60147.98365384616</v>
      </c>
      <c r="AF10" s="23">
        <v>15149.19365384616</v>
      </c>
      <c r="AG10" s="24">
        <v>2029.9836538461605</v>
      </c>
      <c r="AH10" s="23"/>
      <c r="AI10" s="22">
        <v>32596.03</v>
      </c>
      <c r="AJ10" s="23">
        <v>28302.06</v>
      </c>
      <c r="AK10" s="23">
        <v>-4293.9699999999975</v>
      </c>
      <c r="AL10" s="23">
        <v>37024</v>
      </c>
      <c r="AM10" s="23">
        <v>41989.095576923079</v>
      </c>
      <c r="AN10" s="23">
        <v>9393.0655769230798</v>
      </c>
      <c r="AO10" s="24">
        <v>4965.0955769230786</v>
      </c>
      <c r="AP10" s="23"/>
      <c r="AQ10" s="22">
        <v>29927.21</v>
      </c>
      <c r="AR10" s="23">
        <v>25381.52</v>
      </c>
      <c r="AS10" s="23">
        <v>-4545.6899999999987</v>
      </c>
      <c r="AT10" s="23">
        <v>32124</v>
      </c>
      <c r="AU10" s="23">
        <v>34174.748076923075</v>
      </c>
      <c r="AV10" s="23">
        <v>4247.538076923076</v>
      </c>
      <c r="AW10" s="24">
        <v>2050.7480769230751</v>
      </c>
      <c r="AX10" s="23"/>
      <c r="AY10" s="22">
        <v>16332.299963999998</v>
      </c>
      <c r="AZ10" s="23">
        <v>14246.82</v>
      </c>
      <c r="BA10" s="23">
        <v>-2085.4799639999983</v>
      </c>
      <c r="BB10" s="23">
        <v>18414</v>
      </c>
      <c r="BC10" s="23">
        <v>19128.209318366316</v>
      </c>
      <c r="BD10" s="23">
        <v>2795.9093543663184</v>
      </c>
      <c r="BE10" s="24">
        <v>714.20931836631644</v>
      </c>
      <c r="BF10" s="23"/>
      <c r="BG10" s="22">
        <v>118253.941483125</v>
      </c>
      <c r="BH10" s="23">
        <v>119483.99</v>
      </c>
      <c r="BI10" s="23">
        <v>1230.048516875002</v>
      </c>
      <c r="BJ10" s="23">
        <v>117129</v>
      </c>
      <c r="BK10" s="23">
        <v>166478.87446526956</v>
      </c>
      <c r="BL10" s="23">
        <v>48224.932982144557</v>
      </c>
      <c r="BM10" s="24">
        <v>49349.87446526956</v>
      </c>
      <c r="BN10" s="23"/>
      <c r="BO10" s="22">
        <v>46469.424937500007</v>
      </c>
      <c r="BP10" s="23">
        <v>40738.850000000006</v>
      </c>
      <c r="BQ10" s="23">
        <v>-5730.5749375000014</v>
      </c>
      <c r="BR10" s="23">
        <v>45321</v>
      </c>
      <c r="BS10" s="23">
        <v>48295.29389028209</v>
      </c>
      <c r="BT10" s="23">
        <v>1825.8689527820825</v>
      </c>
      <c r="BU10" s="24">
        <v>2974.2938902820897</v>
      </c>
      <c r="BV10" s="23"/>
      <c r="BW10" s="22">
        <v>34488.478020000002</v>
      </c>
      <c r="BX10" s="23">
        <v>31247.61</v>
      </c>
      <c r="BY10" s="23">
        <v>-3240.8680200000017</v>
      </c>
      <c r="BZ10" s="23">
        <v>33126</v>
      </c>
      <c r="CA10" s="23">
        <v>34899.338665931333</v>
      </c>
      <c r="CB10" s="23">
        <v>410.86064593133051</v>
      </c>
      <c r="CC10" s="24">
        <v>1773.3386659313328</v>
      </c>
      <c r="CD10" s="23"/>
      <c r="CE10" s="22">
        <v>415024.91440462501</v>
      </c>
      <c r="CF10" s="23">
        <v>371698.42000000004</v>
      </c>
      <c r="CG10" s="23">
        <v>-43326.494404624973</v>
      </c>
      <c r="CH10" s="23">
        <v>430422</v>
      </c>
      <c r="CI10" s="23">
        <v>479835.07785523392</v>
      </c>
      <c r="CJ10" s="23">
        <v>64810.163450608903</v>
      </c>
      <c r="CK10" s="24">
        <v>49413.077855233918</v>
      </c>
      <c r="CM10" s="111">
        <v>0.15615969355377732</v>
      </c>
      <c r="CN10" s="114">
        <v>0.11480146891941842</v>
      </c>
      <c r="CO10" s="126"/>
      <c r="CP10" s="124">
        <v>479835.07785523392</v>
      </c>
      <c r="CR10" s="103" t="s">
        <v>115</v>
      </c>
      <c r="CS10" s="140">
        <v>1000000</v>
      </c>
    </row>
    <row r="11" spans="1:97" x14ac:dyDescent="0.2">
      <c r="B11" s="8" t="s">
        <v>4</v>
      </c>
      <c r="C11" s="22">
        <v>2130</v>
      </c>
      <c r="D11" s="23">
        <v>2141.5500000000002</v>
      </c>
      <c r="E11" s="23">
        <v>11.550000000000182</v>
      </c>
      <c r="F11" s="23">
        <v>2130</v>
      </c>
      <c r="G11" s="23">
        <v>1460</v>
      </c>
      <c r="H11" s="23">
        <v>-670</v>
      </c>
      <c r="I11" s="24">
        <v>-670</v>
      </c>
      <c r="J11" s="23"/>
      <c r="K11" s="22">
        <v>0</v>
      </c>
      <c r="L11" s="23">
        <v>0</v>
      </c>
      <c r="M11" s="23">
        <v>0</v>
      </c>
      <c r="N11" s="23">
        <v>0</v>
      </c>
      <c r="O11" s="23">
        <v>226.72000000000003</v>
      </c>
      <c r="P11" s="23">
        <v>226.72000000000003</v>
      </c>
      <c r="Q11" s="24">
        <v>226.72000000000003</v>
      </c>
      <c r="R11" s="23"/>
      <c r="S11" s="22">
        <v>24222</v>
      </c>
      <c r="T11" s="23">
        <v>32753.129999999997</v>
      </c>
      <c r="U11" s="23">
        <v>8531.1299999999974</v>
      </c>
      <c r="V11" s="23">
        <v>33448</v>
      </c>
      <c r="W11" s="23">
        <v>33044.639999999999</v>
      </c>
      <c r="X11" s="23">
        <v>8822.64</v>
      </c>
      <c r="Y11" s="24">
        <v>-403.36000000000058</v>
      </c>
      <c r="Z11" s="23"/>
      <c r="AA11" s="22">
        <v>22074</v>
      </c>
      <c r="AB11" s="23">
        <v>20388.25</v>
      </c>
      <c r="AC11" s="23">
        <v>-1685.75</v>
      </c>
      <c r="AD11" s="23">
        <v>34982</v>
      </c>
      <c r="AE11" s="23">
        <v>36322</v>
      </c>
      <c r="AF11" s="23">
        <v>15933.75</v>
      </c>
      <c r="AG11" s="24">
        <v>1340</v>
      </c>
      <c r="AH11" s="23"/>
      <c r="AI11" s="22">
        <v>9360</v>
      </c>
      <c r="AJ11" s="23">
        <v>13566.27</v>
      </c>
      <c r="AK11" s="23">
        <v>4206.2700000000004</v>
      </c>
      <c r="AL11" s="23">
        <v>13950</v>
      </c>
      <c r="AM11" s="23">
        <v>12300.599999999999</v>
      </c>
      <c r="AN11" s="23">
        <v>2940.5999999999985</v>
      </c>
      <c r="AO11" s="24">
        <v>-1649.4000000000015</v>
      </c>
      <c r="AP11" s="23"/>
      <c r="AQ11" s="22">
        <v>16882.32</v>
      </c>
      <c r="AR11" s="23">
        <v>16081.990000000002</v>
      </c>
      <c r="AS11" s="23">
        <v>-800.32999999999811</v>
      </c>
      <c r="AT11" s="23">
        <v>20116</v>
      </c>
      <c r="AU11" s="23">
        <v>21938.110000000004</v>
      </c>
      <c r="AV11" s="23">
        <v>5055.7900000000045</v>
      </c>
      <c r="AW11" s="24">
        <v>1822.1100000000042</v>
      </c>
      <c r="AX11" s="23"/>
      <c r="AY11" s="22">
        <v>9635.0799999999981</v>
      </c>
      <c r="AZ11" s="23">
        <v>9938.77</v>
      </c>
      <c r="BA11" s="23">
        <v>303.69000000000233</v>
      </c>
      <c r="BB11" s="23">
        <v>13093</v>
      </c>
      <c r="BC11" s="23">
        <v>10812.359999999999</v>
      </c>
      <c r="BD11" s="23">
        <v>1177.2800000000007</v>
      </c>
      <c r="BE11" s="24">
        <v>-2280.6400000000012</v>
      </c>
      <c r="BF11" s="23"/>
      <c r="BG11" s="22">
        <v>49967.58</v>
      </c>
      <c r="BH11" s="23">
        <v>45959.899999999994</v>
      </c>
      <c r="BI11" s="23">
        <v>-4007.6800000000076</v>
      </c>
      <c r="BJ11" s="23">
        <v>51266</v>
      </c>
      <c r="BK11" s="23">
        <v>43066.720000000001</v>
      </c>
      <c r="BL11" s="23">
        <v>-6900.8600000000006</v>
      </c>
      <c r="BM11" s="24">
        <v>-8199.2799999999988</v>
      </c>
      <c r="BN11" s="23"/>
      <c r="BO11" s="22">
        <v>21576.959049999998</v>
      </c>
      <c r="BP11" s="23">
        <v>17689.07</v>
      </c>
      <c r="BQ11" s="23">
        <v>-3887.889049999998</v>
      </c>
      <c r="BR11" s="23">
        <v>21077</v>
      </c>
      <c r="BS11" s="23">
        <v>31260.319999999992</v>
      </c>
      <c r="BT11" s="23">
        <v>9683.3609499999948</v>
      </c>
      <c r="BU11" s="24">
        <v>10183.319999999992</v>
      </c>
      <c r="BV11" s="23"/>
      <c r="BW11" s="22">
        <v>15394.651812700002</v>
      </c>
      <c r="BX11" s="23">
        <v>14687.59</v>
      </c>
      <c r="BY11" s="23">
        <v>-707.06181270000161</v>
      </c>
      <c r="BZ11" s="23">
        <v>17475</v>
      </c>
      <c r="CA11" s="23">
        <v>15832.639999999998</v>
      </c>
      <c r="CB11" s="23">
        <v>437.98818729999584</v>
      </c>
      <c r="CC11" s="24">
        <v>-1642.3600000000024</v>
      </c>
      <c r="CD11" s="23"/>
      <c r="CE11" s="22">
        <v>171242.59086270002</v>
      </c>
      <c r="CF11" s="23">
        <v>173206.52</v>
      </c>
      <c r="CG11" s="23">
        <v>1963.9291372999724</v>
      </c>
      <c r="CH11" s="23">
        <v>207537</v>
      </c>
      <c r="CI11" s="23">
        <v>206264.11</v>
      </c>
      <c r="CJ11" s="23">
        <v>35021.519137299969</v>
      </c>
      <c r="CK11" s="24">
        <v>-1272.890000000014</v>
      </c>
      <c r="CM11" s="111">
        <v>0.20451406954815199</v>
      </c>
      <c r="CN11" s="114">
        <v>-6.133315987028886E-3</v>
      </c>
      <c r="CO11" s="126"/>
      <c r="CP11" s="124">
        <v>206264.11</v>
      </c>
      <c r="CR11" s="103" t="s">
        <v>116</v>
      </c>
      <c r="CS11" s="140">
        <v>2800000</v>
      </c>
    </row>
    <row r="12" spans="1:97" x14ac:dyDescent="0.2">
      <c r="B12" s="8" t="s">
        <v>5</v>
      </c>
      <c r="C12" s="22">
        <v>824.15</v>
      </c>
      <c r="D12" s="23">
        <v>927.72</v>
      </c>
      <c r="E12" s="23">
        <v>103.57000000000005</v>
      </c>
      <c r="F12" s="23">
        <v>887</v>
      </c>
      <c r="G12" s="23">
        <v>1596.3708649351072</v>
      </c>
      <c r="H12" s="23">
        <v>772.22086493510722</v>
      </c>
      <c r="I12" s="24">
        <v>709.37086493510719</v>
      </c>
      <c r="J12" s="23"/>
      <c r="K12" s="22">
        <v>0</v>
      </c>
      <c r="L12" s="23">
        <v>0</v>
      </c>
      <c r="M12" s="23">
        <v>0</v>
      </c>
      <c r="N12" s="23">
        <v>0</v>
      </c>
      <c r="O12" s="23">
        <v>859.55790493510722</v>
      </c>
      <c r="P12" s="23">
        <v>859.55790493510722</v>
      </c>
      <c r="Q12" s="24">
        <v>859.55790493510722</v>
      </c>
      <c r="R12" s="23"/>
      <c r="S12" s="22">
        <v>9657</v>
      </c>
      <c r="T12" s="23">
        <v>12144.74</v>
      </c>
      <c r="U12" s="23">
        <v>2487.7399999999998</v>
      </c>
      <c r="V12" s="23">
        <v>17428</v>
      </c>
      <c r="W12" s="23">
        <v>1095.014996923077</v>
      </c>
      <c r="X12" s="23">
        <v>-8561.985003076923</v>
      </c>
      <c r="Y12" s="24">
        <v>-16332.985003076923</v>
      </c>
      <c r="Z12" s="23"/>
      <c r="AA12" s="22">
        <v>9490.74</v>
      </c>
      <c r="AB12" s="23">
        <v>9099.01</v>
      </c>
      <c r="AC12" s="23">
        <v>-391.72999999999956</v>
      </c>
      <c r="AD12" s="23">
        <v>13352</v>
      </c>
      <c r="AE12" s="23">
        <v>13340.305620000001</v>
      </c>
      <c r="AF12" s="23">
        <v>4241.2956200000008</v>
      </c>
      <c r="AG12" s="24">
        <v>-11.694379999999001</v>
      </c>
      <c r="AH12" s="23"/>
      <c r="AI12" s="22">
        <v>4303.3</v>
      </c>
      <c r="AJ12" s="23">
        <v>5809.85</v>
      </c>
      <c r="AK12" s="23">
        <v>1506.5500000000002</v>
      </c>
      <c r="AL12" s="23">
        <v>8414</v>
      </c>
      <c r="AM12" s="23">
        <v>2467.7703164800005</v>
      </c>
      <c r="AN12" s="23">
        <v>-1835.5296835199997</v>
      </c>
      <c r="AO12" s="24">
        <v>-5946.2296835199995</v>
      </c>
      <c r="AP12" s="23"/>
      <c r="AQ12" s="22">
        <v>4494.92</v>
      </c>
      <c r="AR12" s="23">
        <v>3528.29</v>
      </c>
      <c r="AS12" s="23">
        <v>-966.63000000000011</v>
      </c>
      <c r="AT12" s="23">
        <v>5479</v>
      </c>
      <c r="AU12" s="23">
        <v>5506.1325799999995</v>
      </c>
      <c r="AV12" s="23">
        <v>1011.2125799999994</v>
      </c>
      <c r="AW12" s="24">
        <v>27.132579999999507</v>
      </c>
      <c r="AX12" s="23"/>
      <c r="AY12" s="22">
        <v>2491.7994707605999</v>
      </c>
      <c r="AZ12" s="23">
        <v>2715.9300000000003</v>
      </c>
      <c r="BA12" s="23">
        <v>224.1305292394004</v>
      </c>
      <c r="BB12" s="23">
        <v>4063</v>
      </c>
      <c r="BC12" s="23">
        <v>3900.1598191783469</v>
      </c>
      <c r="BD12" s="23">
        <v>1408.360348417747</v>
      </c>
      <c r="BE12" s="24">
        <v>-162.84018082165312</v>
      </c>
      <c r="BF12" s="23"/>
      <c r="BG12" s="22">
        <v>17526.355448237999</v>
      </c>
      <c r="BH12" s="23">
        <v>16728.399999999998</v>
      </c>
      <c r="BI12" s="23">
        <v>-797.95544823800083</v>
      </c>
      <c r="BJ12" s="23">
        <v>27173</v>
      </c>
      <c r="BK12" s="23">
        <v>24088.048176476921</v>
      </c>
      <c r="BL12" s="23">
        <v>6561.6927282389224</v>
      </c>
      <c r="BM12" s="24">
        <v>-3084.9518235230789</v>
      </c>
      <c r="BN12" s="23"/>
      <c r="BO12" s="22">
        <v>7633.0578050999993</v>
      </c>
      <c r="BP12" s="23">
        <v>7115.7000000000007</v>
      </c>
      <c r="BQ12" s="23">
        <v>-517.35780509999859</v>
      </c>
      <c r="BR12" s="23">
        <v>8641</v>
      </c>
      <c r="BS12" s="23">
        <v>11582.625683917599</v>
      </c>
      <c r="BT12" s="23">
        <v>3949.5678788175992</v>
      </c>
      <c r="BU12" s="24">
        <v>2941.6256839175985</v>
      </c>
      <c r="BV12" s="23"/>
      <c r="BW12" s="22">
        <v>6076.017665718</v>
      </c>
      <c r="BX12" s="23">
        <v>4963.71</v>
      </c>
      <c r="BY12" s="23">
        <v>-1112.307665718</v>
      </c>
      <c r="BZ12" s="23">
        <v>7141</v>
      </c>
      <c r="CA12" s="23">
        <v>9010.9988871840396</v>
      </c>
      <c r="CB12" s="23">
        <v>2934.9812214660396</v>
      </c>
      <c r="CC12" s="24">
        <v>1869.9988871840396</v>
      </c>
      <c r="CD12" s="23"/>
      <c r="CE12" s="22">
        <v>62497.340389816593</v>
      </c>
      <c r="CF12" s="23">
        <v>63033.35</v>
      </c>
      <c r="CG12" s="23">
        <v>536.00961018340604</v>
      </c>
      <c r="CH12" s="23">
        <v>92578</v>
      </c>
      <c r="CI12" s="23">
        <v>73446.984850030203</v>
      </c>
      <c r="CJ12" s="23">
        <v>10949.644460213611</v>
      </c>
      <c r="CK12" s="24">
        <v>-19131.015149969797</v>
      </c>
      <c r="CM12" s="111">
        <v>0.17520176685787034</v>
      </c>
      <c r="CN12" s="114">
        <v>-0.20664753127060206</v>
      </c>
      <c r="CO12" s="126"/>
      <c r="CP12" s="124">
        <v>73446.984850030203</v>
      </c>
      <c r="CR12" s="103" t="s">
        <v>79</v>
      </c>
      <c r="CS12" s="140">
        <v>12749169.444262501</v>
      </c>
    </row>
    <row r="13" spans="1:97" ht="15" x14ac:dyDescent="0.35">
      <c r="B13" s="8" t="s">
        <v>6</v>
      </c>
      <c r="C13" s="22">
        <v>2394.7600000000002</v>
      </c>
      <c r="D13" s="23">
        <v>1588.08</v>
      </c>
      <c r="E13" s="23">
        <v>-806.68000000000029</v>
      </c>
      <c r="F13" s="23">
        <v>2446</v>
      </c>
      <c r="G13" s="23">
        <v>12863.85</v>
      </c>
      <c r="H13" s="23">
        <v>10469.09</v>
      </c>
      <c r="I13" s="24">
        <v>10417.85</v>
      </c>
      <c r="J13" s="23"/>
      <c r="K13" s="22">
        <v>0</v>
      </c>
      <c r="L13" s="23">
        <v>0</v>
      </c>
      <c r="M13" s="23">
        <v>0</v>
      </c>
      <c r="N13" s="23">
        <v>0</v>
      </c>
      <c r="O13" s="23">
        <v>1304.9968192334622</v>
      </c>
      <c r="P13" s="23">
        <v>1304.9968192334622</v>
      </c>
      <c r="Q13" s="24">
        <v>1304.9968192334622</v>
      </c>
      <c r="R13" s="23"/>
      <c r="S13" s="22">
        <v>18620</v>
      </c>
      <c r="T13" s="23">
        <v>14213.429999999998</v>
      </c>
      <c r="U13" s="23">
        <v>-4406.5700000000015</v>
      </c>
      <c r="V13" s="23">
        <v>32433</v>
      </c>
      <c r="W13" s="23">
        <v>10730.814230769232</v>
      </c>
      <c r="X13" s="23">
        <v>-7889.1857692307676</v>
      </c>
      <c r="Y13" s="24">
        <v>-21702.185769230768</v>
      </c>
      <c r="Z13" s="23"/>
      <c r="AA13" s="22">
        <v>13644.74</v>
      </c>
      <c r="AB13" s="23">
        <v>12438.59</v>
      </c>
      <c r="AC13" s="23">
        <v>-1206.1499999999996</v>
      </c>
      <c r="AD13" s="23">
        <v>24848</v>
      </c>
      <c r="AE13" s="23">
        <v>24884.689230769229</v>
      </c>
      <c r="AF13" s="23">
        <v>12446.099230769229</v>
      </c>
      <c r="AG13" s="24">
        <v>36.689230769228743</v>
      </c>
      <c r="AH13" s="23"/>
      <c r="AI13" s="22">
        <v>7614.5</v>
      </c>
      <c r="AJ13" s="23">
        <v>8452.18</v>
      </c>
      <c r="AK13" s="23">
        <v>837.68000000000029</v>
      </c>
      <c r="AL13" s="23">
        <v>15659</v>
      </c>
      <c r="AM13" s="23">
        <v>7831.7600861538467</v>
      </c>
      <c r="AN13" s="23">
        <v>217.26008615384671</v>
      </c>
      <c r="AO13" s="24">
        <v>-7827.2399138461533</v>
      </c>
      <c r="AP13" s="23"/>
      <c r="AQ13" s="22">
        <v>11311.320000000002</v>
      </c>
      <c r="AR13" s="23">
        <v>6779.93</v>
      </c>
      <c r="AS13" s="23">
        <v>-4531.3900000000012</v>
      </c>
      <c r="AT13" s="23">
        <v>12134</v>
      </c>
      <c r="AU13" s="23">
        <v>13477.721538461537</v>
      </c>
      <c r="AV13" s="23">
        <v>2166.4015384615359</v>
      </c>
      <c r="AW13" s="24">
        <v>1343.7215384615374</v>
      </c>
      <c r="AX13" s="23"/>
      <c r="AY13" s="22">
        <v>4348.7107355999997</v>
      </c>
      <c r="AZ13" s="23">
        <v>2739.17</v>
      </c>
      <c r="BA13" s="23">
        <v>-1609.5407355999996</v>
      </c>
      <c r="BB13" s="23">
        <v>6304</v>
      </c>
      <c r="BC13" s="23">
        <v>6635.6457777544065</v>
      </c>
      <c r="BD13" s="23">
        <v>2286.9350421544068</v>
      </c>
      <c r="BE13" s="24">
        <v>331.64577775440648</v>
      </c>
      <c r="BF13" s="23"/>
      <c r="BG13" s="22">
        <v>32118.09489</v>
      </c>
      <c r="BH13" s="23">
        <v>32102.939999999995</v>
      </c>
      <c r="BI13" s="23">
        <v>-15.154890000005253</v>
      </c>
      <c r="BJ13" s="23">
        <v>52157</v>
      </c>
      <c r="BK13" s="23">
        <v>48702.330939953979</v>
      </c>
      <c r="BL13" s="23">
        <v>16584.236049953979</v>
      </c>
      <c r="BM13" s="24">
        <v>-3454.6690600460206</v>
      </c>
      <c r="BN13" s="23"/>
      <c r="BO13" s="22">
        <v>15630.91425</v>
      </c>
      <c r="BP13" s="23">
        <v>11016.52</v>
      </c>
      <c r="BQ13" s="23">
        <v>-4614.3942499999994</v>
      </c>
      <c r="BR13" s="23">
        <v>16150</v>
      </c>
      <c r="BS13" s="23">
        <v>20673.497941251691</v>
      </c>
      <c r="BT13" s="23">
        <v>5042.5836912516916</v>
      </c>
      <c r="BU13" s="24">
        <v>4523.4979412516914</v>
      </c>
      <c r="BV13" s="23"/>
      <c r="BW13" s="22">
        <v>13983.98681925</v>
      </c>
      <c r="BX13" s="23">
        <v>7214.98</v>
      </c>
      <c r="BY13" s="23">
        <v>-6769.0068192500003</v>
      </c>
      <c r="BZ13" s="23">
        <v>13349</v>
      </c>
      <c r="CA13" s="23">
        <v>14074.507389449453</v>
      </c>
      <c r="CB13" s="23">
        <v>90.520570199452777</v>
      </c>
      <c r="CC13" s="24">
        <v>725.5073894494526</v>
      </c>
      <c r="CD13" s="23"/>
      <c r="CE13" s="22">
        <v>119667.02669484999</v>
      </c>
      <c r="CF13" s="23">
        <v>96545.819999999992</v>
      </c>
      <c r="CG13" s="23">
        <v>-23121.20669485</v>
      </c>
      <c r="CH13" s="23">
        <v>175480</v>
      </c>
      <c r="CI13" s="23">
        <v>161179.81395379684</v>
      </c>
      <c r="CJ13" s="23">
        <v>41512.787258946846</v>
      </c>
      <c r="CK13" s="24">
        <v>-14300.186046203162</v>
      </c>
      <c r="CM13" s="111">
        <v>0.34690247101069988</v>
      </c>
      <c r="CN13" s="114">
        <v>-8.1491828391857549E-2</v>
      </c>
      <c r="CO13" s="126"/>
      <c r="CP13" s="124">
        <v>161179.81395379684</v>
      </c>
      <c r="CR13" s="103" t="s">
        <v>143</v>
      </c>
      <c r="CS13" s="141">
        <v>-12749169.455571674</v>
      </c>
    </row>
    <row r="14" spans="1:97" x14ac:dyDescent="0.2">
      <c r="B14" s="8" t="s">
        <v>7</v>
      </c>
      <c r="C14" s="22">
        <v>33200</v>
      </c>
      <c r="D14" s="23">
        <v>25200</v>
      </c>
      <c r="E14" s="23">
        <v>-8000</v>
      </c>
      <c r="F14" s="23">
        <v>25200</v>
      </c>
      <c r="G14" s="23">
        <v>25200</v>
      </c>
      <c r="H14" s="23">
        <v>-8000</v>
      </c>
      <c r="I14" s="24">
        <v>0</v>
      </c>
      <c r="J14" s="23"/>
      <c r="K14" s="22">
        <v>0</v>
      </c>
      <c r="L14" s="23">
        <v>0</v>
      </c>
      <c r="M14" s="23">
        <v>0</v>
      </c>
      <c r="N14" s="23">
        <v>0</v>
      </c>
      <c r="O14" s="23">
        <v>7200</v>
      </c>
      <c r="P14" s="23">
        <v>7200</v>
      </c>
      <c r="Q14" s="24">
        <v>7200</v>
      </c>
      <c r="R14" s="23"/>
      <c r="S14" s="22">
        <v>100800</v>
      </c>
      <c r="T14" s="23">
        <v>107590</v>
      </c>
      <c r="U14" s="23">
        <v>6790</v>
      </c>
      <c r="V14" s="23">
        <v>144000</v>
      </c>
      <c r="W14" s="23">
        <v>115200</v>
      </c>
      <c r="X14" s="23">
        <v>14400</v>
      </c>
      <c r="Y14" s="24">
        <v>-28800</v>
      </c>
      <c r="Z14" s="23"/>
      <c r="AA14" s="22">
        <v>129600</v>
      </c>
      <c r="AB14" s="23">
        <v>106440</v>
      </c>
      <c r="AC14" s="23">
        <v>-23160</v>
      </c>
      <c r="AD14" s="23">
        <v>144000</v>
      </c>
      <c r="AE14" s="23">
        <v>136800</v>
      </c>
      <c r="AF14" s="23">
        <v>30360</v>
      </c>
      <c r="AG14" s="24">
        <v>-7200</v>
      </c>
      <c r="AH14" s="23"/>
      <c r="AI14" s="22">
        <v>36000</v>
      </c>
      <c r="AJ14" s="23">
        <v>33229</v>
      </c>
      <c r="AK14" s="23">
        <v>-2771</v>
      </c>
      <c r="AL14" s="23">
        <v>50400</v>
      </c>
      <c r="AM14" s="23">
        <v>50400</v>
      </c>
      <c r="AN14" s="23">
        <v>14400</v>
      </c>
      <c r="AO14" s="24">
        <v>0</v>
      </c>
      <c r="AP14" s="23"/>
      <c r="AQ14" s="22">
        <v>28800</v>
      </c>
      <c r="AR14" s="23">
        <v>42000</v>
      </c>
      <c r="AS14" s="23">
        <v>13200</v>
      </c>
      <c r="AT14" s="23">
        <v>43200</v>
      </c>
      <c r="AU14" s="23">
        <v>43200</v>
      </c>
      <c r="AV14" s="23">
        <v>14400</v>
      </c>
      <c r="AW14" s="24">
        <v>0</v>
      </c>
      <c r="AX14" s="23"/>
      <c r="AY14" s="22">
        <v>36000</v>
      </c>
      <c r="AZ14" s="23">
        <v>37200</v>
      </c>
      <c r="BA14" s="23">
        <v>1200</v>
      </c>
      <c r="BB14" s="23">
        <v>36000</v>
      </c>
      <c r="BC14" s="23">
        <v>43200</v>
      </c>
      <c r="BD14" s="23">
        <v>7200</v>
      </c>
      <c r="BE14" s="24">
        <v>7200</v>
      </c>
      <c r="BF14" s="23"/>
      <c r="BG14" s="22">
        <v>259200</v>
      </c>
      <c r="BH14" s="23">
        <v>217480</v>
      </c>
      <c r="BI14" s="23">
        <v>-41720</v>
      </c>
      <c r="BJ14" s="23">
        <v>243000</v>
      </c>
      <c r="BK14" s="23">
        <v>244800</v>
      </c>
      <c r="BL14" s="23">
        <v>-14400</v>
      </c>
      <c r="BM14" s="24">
        <v>1800</v>
      </c>
      <c r="BN14" s="23"/>
      <c r="BO14" s="22">
        <v>28800</v>
      </c>
      <c r="BP14" s="23">
        <v>21291</v>
      </c>
      <c r="BQ14" s="23">
        <v>-7509</v>
      </c>
      <c r="BR14" s="23">
        <v>36000</v>
      </c>
      <c r="BS14" s="23">
        <v>36000</v>
      </c>
      <c r="BT14" s="23">
        <v>7200</v>
      </c>
      <c r="BU14" s="24">
        <v>0</v>
      </c>
      <c r="BV14" s="23"/>
      <c r="BW14" s="22">
        <v>28800</v>
      </c>
      <c r="BX14" s="23">
        <v>7200</v>
      </c>
      <c r="BY14" s="23">
        <v>-21600</v>
      </c>
      <c r="BZ14" s="23">
        <v>28800</v>
      </c>
      <c r="CA14" s="23">
        <v>43200</v>
      </c>
      <c r="CB14" s="23">
        <v>14400</v>
      </c>
      <c r="CC14" s="24">
        <v>14400</v>
      </c>
      <c r="CD14" s="23"/>
      <c r="CE14" s="22">
        <v>681200</v>
      </c>
      <c r="CF14" s="23">
        <v>597630</v>
      </c>
      <c r="CG14" s="23">
        <v>-83570</v>
      </c>
      <c r="CH14" s="23">
        <v>750600</v>
      </c>
      <c r="CI14" s="23">
        <v>745200</v>
      </c>
      <c r="CJ14" s="23">
        <v>64000</v>
      </c>
      <c r="CK14" s="24">
        <v>-5400</v>
      </c>
      <c r="CM14" s="111">
        <v>9.3951849677040511E-2</v>
      </c>
      <c r="CN14" s="114">
        <v>-7.1942446043165471E-3</v>
      </c>
      <c r="CO14" s="126"/>
      <c r="CP14" s="124">
        <v>745200</v>
      </c>
      <c r="CR14" s="104" t="s">
        <v>148</v>
      </c>
      <c r="CS14" s="142">
        <v>-1.1309172958135605E-2</v>
      </c>
    </row>
    <row r="15" spans="1:97" x14ac:dyDescent="0.2">
      <c r="B15" s="8" t="s">
        <v>86</v>
      </c>
      <c r="C15" s="22"/>
      <c r="D15" s="23"/>
      <c r="E15" s="23">
        <v>0</v>
      </c>
      <c r="F15" s="23">
        <v>0</v>
      </c>
      <c r="G15" s="23">
        <v>0</v>
      </c>
      <c r="H15" s="23">
        <v>0</v>
      </c>
      <c r="I15" s="24">
        <v>0</v>
      </c>
      <c r="J15" s="23"/>
      <c r="K15" s="22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4">
        <v>0</v>
      </c>
      <c r="R15" s="23"/>
      <c r="S15" s="22">
        <v>4160</v>
      </c>
      <c r="T15" s="23">
        <v>25509.25</v>
      </c>
      <c r="U15" s="23">
        <v>21349.25</v>
      </c>
      <c r="V15" s="23">
        <v>0</v>
      </c>
      <c r="W15" s="23">
        <v>0</v>
      </c>
      <c r="X15" s="23">
        <v>-4160</v>
      </c>
      <c r="Y15" s="24">
        <v>0</v>
      </c>
      <c r="Z15" s="23"/>
      <c r="AA15" s="22"/>
      <c r="AB15" s="23">
        <v>1020.24</v>
      </c>
      <c r="AC15" s="23">
        <v>1020.24</v>
      </c>
      <c r="AD15" s="23"/>
      <c r="AE15" s="23">
        <v>0</v>
      </c>
      <c r="AF15" s="23">
        <v>-1020.24</v>
      </c>
      <c r="AG15" s="24">
        <v>0</v>
      </c>
      <c r="AH15" s="23"/>
      <c r="AI15" s="22"/>
      <c r="AJ15" s="23">
        <v>839.47</v>
      </c>
      <c r="AK15" s="23">
        <v>839.47</v>
      </c>
      <c r="AL15" s="23">
        <v>0</v>
      </c>
      <c r="AM15" s="23">
        <v>0</v>
      </c>
      <c r="AN15" s="23">
        <v>0</v>
      </c>
      <c r="AO15" s="24">
        <v>0</v>
      </c>
      <c r="AP15" s="23"/>
      <c r="AQ15" s="22"/>
      <c r="AR15" s="23"/>
      <c r="AS15" s="23">
        <v>0</v>
      </c>
      <c r="AT15" s="23">
        <v>0</v>
      </c>
      <c r="AU15" s="23">
        <v>0</v>
      </c>
      <c r="AV15" s="23">
        <v>0</v>
      </c>
      <c r="AW15" s="24">
        <v>0</v>
      </c>
      <c r="AX15" s="23"/>
      <c r="AY15" s="22"/>
      <c r="AZ15" s="23"/>
      <c r="BA15" s="23">
        <v>0</v>
      </c>
      <c r="BB15" s="23">
        <v>0</v>
      </c>
      <c r="BC15" s="23">
        <v>0</v>
      </c>
      <c r="BD15" s="23">
        <v>0</v>
      </c>
      <c r="BE15" s="24">
        <v>0</v>
      </c>
      <c r="BF15" s="23"/>
      <c r="BG15" s="22">
        <v>340987.41</v>
      </c>
      <c r="BH15" s="23">
        <v>645161.65999999992</v>
      </c>
      <c r="BI15" s="23">
        <v>304174.24999999994</v>
      </c>
      <c r="BJ15" s="23">
        <v>430000</v>
      </c>
      <c r="BK15" s="23">
        <v>430000</v>
      </c>
      <c r="BL15" s="23">
        <v>89012.590000000026</v>
      </c>
      <c r="BM15" s="24">
        <v>0</v>
      </c>
      <c r="BN15" s="23"/>
      <c r="BO15" s="22"/>
      <c r="BP15" s="23"/>
      <c r="BQ15" s="23">
        <v>0</v>
      </c>
      <c r="BR15" s="23">
        <v>0</v>
      </c>
      <c r="BS15" s="23">
        <v>0</v>
      </c>
      <c r="BT15" s="23">
        <v>0</v>
      </c>
      <c r="BU15" s="24">
        <v>0</v>
      </c>
      <c r="BV15" s="23"/>
      <c r="BW15" s="22"/>
      <c r="BX15" s="23"/>
      <c r="BY15" s="23">
        <v>0</v>
      </c>
      <c r="BZ15" s="23">
        <v>0</v>
      </c>
      <c r="CA15" s="23">
        <v>0</v>
      </c>
      <c r="CB15" s="23">
        <v>0</v>
      </c>
      <c r="CC15" s="24">
        <v>0</v>
      </c>
      <c r="CD15" s="23"/>
      <c r="CE15" s="22">
        <v>345147.41</v>
      </c>
      <c r="CF15" s="23">
        <v>672530.61999999988</v>
      </c>
      <c r="CG15" s="23">
        <v>327383.2099999999</v>
      </c>
      <c r="CH15" s="23">
        <v>430000</v>
      </c>
      <c r="CI15" s="23">
        <v>430000</v>
      </c>
      <c r="CJ15" s="23">
        <v>84852.590000000026</v>
      </c>
      <c r="CK15" s="24">
        <v>0</v>
      </c>
      <c r="CM15" s="111">
        <v>0.24584449293709038</v>
      </c>
      <c r="CN15" s="118">
        <v>0</v>
      </c>
      <c r="CO15" s="126">
        <v>0</v>
      </c>
      <c r="CP15" s="124">
        <v>430000</v>
      </c>
    </row>
    <row r="16" spans="1:97" x14ac:dyDescent="0.2">
      <c r="B16" s="8" t="s">
        <v>68</v>
      </c>
      <c r="C16" s="22"/>
      <c r="D16" s="23"/>
      <c r="E16" s="23">
        <v>0</v>
      </c>
      <c r="F16" s="23">
        <v>0</v>
      </c>
      <c r="G16" s="23">
        <v>0</v>
      </c>
      <c r="H16" s="23">
        <v>0</v>
      </c>
      <c r="I16" s="24">
        <v>0</v>
      </c>
      <c r="J16" s="23"/>
      <c r="K16" s="22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4">
        <v>0</v>
      </c>
      <c r="R16" s="23"/>
      <c r="S16" s="22"/>
      <c r="T16" s="23"/>
      <c r="U16" s="23">
        <v>0</v>
      </c>
      <c r="V16" s="23">
        <v>0</v>
      </c>
      <c r="W16" s="23">
        <v>0</v>
      </c>
      <c r="X16" s="23">
        <v>0</v>
      </c>
      <c r="Y16" s="24">
        <v>0</v>
      </c>
      <c r="Z16" s="23"/>
      <c r="AA16" s="22"/>
      <c r="AB16" s="23"/>
      <c r="AC16" s="23">
        <v>0</v>
      </c>
      <c r="AD16" s="23"/>
      <c r="AE16" s="23">
        <v>0</v>
      </c>
      <c r="AF16" s="23">
        <v>0</v>
      </c>
      <c r="AG16" s="24">
        <v>0</v>
      </c>
      <c r="AH16" s="23"/>
      <c r="AI16" s="22"/>
      <c r="AJ16" s="23"/>
      <c r="AK16" s="23">
        <v>0</v>
      </c>
      <c r="AL16" s="23">
        <v>0</v>
      </c>
      <c r="AM16" s="23">
        <v>0</v>
      </c>
      <c r="AN16" s="23">
        <v>0</v>
      </c>
      <c r="AO16" s="24">
        <v>0</v>
      </c>
      <c r="AP16" s="23"/>
      <c r="AQ16" s="22"/>
      <c r="AR16" s="23"/>
      <c r="AS16" s="23">
        <v>0</v>
      </c>
      <c r="AT16" s="23">
        <v>0</v>
      </c>
      <c r="AU16" s="23">
        <v>0</v>
      </c>
      <c r="AV16" s="23">
        <v>0</v>
      </c>
      <c r="AW16" s="24">
        <v>0</v>
      </c>
      <c r="AX16" s="23"/>
      <c r="AY16" s="22"/>
      <c r="AZ16" s="23"/>
      <c r="BA16" s="23">
        <v>0</v>
      </c>
      <c r="BB16" s="23">
        <v>0</v>
      </c>
      <c r="BC16" s="23">
        <v>0</v>
      </c>
      <c r="BD16" s="23">
        <v>0</v>
      </c>
      <c r="BE16" s="24">
        <v>0</v>
      </c>
      <c r="BF16" s="23"/>
      <c r="BG16" s="22"/>
      <c r="BH16" s="23"/>
      <c r="BI16" s="23">
        <v>0</v>
      </c>
      <c r="BJ16" s="23">
        <v>1500</v>
      </c>
      <c r="BK16" s="23">
        <v>2000</v>
      </c>
      <c r="BL16" s="23">
        <v>2000</v>
      </c>
      <c r="BM16" s="24">
        <v>500</v>
      </c>
      <c r="BN16" s="23"/>
      <c r="BO16" s="22"/>
      <c r="BP16" s="23"/>
      <c r="BQ16" s="23">
        <v>0</v>
      </c>
      <c r="BR16" s="23">
        <v>0</v>
      </c>
      <c r="BS16" s="23">
        <v>0</v>
      </c>
      <c r="BT16" s="23">
        <v>0</v>
      </c>
      <c r="BU16" s="24">
        <v>0</v>
      </c>
      <c r="BV16" s="23"/>
      <c r="BW16" s="22">
        <v>55000</v>
      </c>
      <c r="BX16" s="23">
        <v>49275.31</v>
      </c>
      <c r="BY16" s="23">
        <v>-5724.6900000000023</v>
      </c>
      <c r="BZ16" s="23">
        <v>55000</v>
      </c>
      <c r="CA16" s="23">
        <v>60000</v>
      </c>
      <c r="CB16" s="23">
        <v>5000</v>
      </c>
      <c r="CC16" s="24">
        <v>5000</v>
      </c>
      <c r="CD16" s="23"/>
      <c r="CE16" s="22">
        <v>55000</v>
      </c>
      <c r="CF16" s="23">
        <v>49275.31</v>
      </c>
      <c r="CG16" s="23">
        <v>-5724.6900000000023</v>
      </c>
      <c r="CH16" s="23">
        <v>56500</v>
      </c>
      <c r="CI16" s="23">
        <v>62000</v>
      </c>
      <c r="CJ16" s="23">
        <v>7000</v>
      </c>
      <c r="CK16" s="24">
        <v>5500</v>
      </c>
      <c r="CM16" s="111">
        <v>0.12727272727272726</v>
      </c>
      <c r="CN16" s="114">
        <v>9.7345132743362831E-2</v>
      </c>
      <c r="CO16" s="126"/>
      <c r="CP16" s="124">
        <v>62000</v>
      </c>
    </row>
    <row r="17" spans="2:94" x14ac:dyDescent="0.2">
      <c r="B17" s="8" t="s">
        <v>33</v>
      </c>
      <c r="C17" s="22"/>
      <c r="D17" s="23"/>
      <c r="E17" s="23">
        <v>0</v>
      </c>
      <c r="F17" s="23">
        <v>0</v>
      </c>
      <c r="G17" s="23">
        <v>0</v>
      </c>
      <c r="H17" s="23">
        <v>0</v>
      </c>
      <c r="I17" s="24">
        <v>0</v>
      </c>
      <c r="J17" s="23"/>
      <c r="K17" s="22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4">
        <v>0</v>
      </c>
      <c r="R17" s="23"/>
      <c r="S17" s="22"/>
      <c r="T17" s="23"/>
      <c r="U17" s="23">
        <v>0</v>
      </c>
      <c r="V17" s="23">
        <v>0</v>
      </c>
      <c r="W17" s="23">
        <v>0</v>
      </c>
      <c r="X17" s="23">
        <v>0</v>
      </c>
      <c r="Y17" s="24">
        <v>0</v>
      </c>
      <c r="Z17" s="23"/>
      <c r="AA17" s="22"/>
      <c r="AB17" s="23"/>
      <c r="AC17" s="23">
        <v>0</v>
      </c>
      <c r="AD17" s="23"/>
      <c r="AE17" s="23">
        <v>0</v>
      </c>
      <c r="AF17" s="23">
        <v>0</v>
      </c>
      <c r="AG17" s="24">
        <v>0</v>
      </c>
      <c r="AH17" s="23"/>
      <c r="AI17" s="22"/>
      <c r="AJ17" s="23"/>
      <c r="AK17" s="23">
        <v>0</v>
      </c>
      <c r="AL17" s="23">
        <v>0</v>
      </c>
      <c r="AM17" s="23">
        <v>0</v>
      </c>
      <c r="AN17" s="23">
        <v>0</v>
      </c>
      <c r="AO17" s="24">
        <v>0</v>
      </c>
      <c r="AP17" s="23"/>
      <c r="AQ17" s="22"/>
      <c r="AR17" s="23"/>
      <c r="AS17" s="23">
        <v>0</v>
      </c>
      <c r="AT17" s="23">
        <v>0</v>
      </c>
      <c r="AU17" s="23">
        <v>0</v>
      </c>
      <c r="AV17" s="23">
        <v>0</v>
      </c>
      <c r="AW17" s="24">
        <v>0</v>
      </c>
      <c r="AX17" s="23"/>
      <c r="AY17" s="22"/>
      <c r="AZ17" s="23"/>
      <c r="BA17" s="23">
        <v>0</v>
      </c>
      <c r="BB17" s="23">
        <v>0</v>
      </c>
      <c r="BC17" s="23">
        <v>0</v>
      </c>
      <c r="BD17" s="23">
        <v>0</v>
      </c>
      <c r="BE17" s="24">
        <v>0</v>
      </c>
      <c r="BF17" s="23"/>
      <c r="BG17" s="22"/>
      <c r="BH17" s="23"/>
      <c r="BI17" s="23">
        <v>0</v>
      </c>
      <c r="BJ17" s="23">
        <v>0</v>
      </c>
      <c r="BK17" s="23">
        <v>0</v>
      </c>
      <c r="BL17" s="23">
        <v>0</v>
      </c>
      <c r="BM17" s="24">
        <v>0</v>
      </c>
      <c r="BN17" s="23"/>
      <c r="BO17" s="22">
        <v>60000</v>
      </c>
      <c r="BP17" s="23">
        <v>99249.06</v>
      </c>
      <c r="BQ17" s="23">
        <v>39249.06</v>
      </c>
      <c r="BR17" s="23">
        <v>50000</v>
      </c>
      <c r="BS17" s="23">
        <v>50000</v>
      </c>
      <c r="BT17" s="23">
        <v>-10000</v>
      </c>
      <c r="BU17" s="24">
        <v>0</v>
      </c>
      <c r="BV17" s="23"/>
      <c r="BW17" s="22"/>
      <c r="BX17" s="23"/>
      <c r="BY17" s="23">
        <v>0</v>
      </c>
      <c r="BZ17" s="23">
        <v>0</v>
      </c>
      <c r="CA17" s="23">
        <v>0</v>
      </c>
      <c r="CB17" s="23">
        <v>0</v>
      </c>
      <c r="CC17" s="24">
        <v>0</v>
      </c>
      <c r="CD17" s="23"/>
      <c r="CE17" s="22">
        <v>60000</v>
      </c>
      <c r="CF17" s="23">
        <v>99249.06</v>
      </c>
      <c r="CG17" s="23">
        <v>39249.06</v>
      </c>
      <c r="CH17" s="23">
        <v>50000</v>
      </c>
      <c r="CI17" s="139">
        <v>50000</v>
      </c>
      <c r="CJ17" s="23">
        <v>-10000</v>
      </c>
      <c r="CK17" s="24">
        <v>0</v>
      </c>
      <c r="CM17" s="112">
        <v>-0.16666666666666666</v>
      </c>
      <c r="CN17" s="120">
        <v>0</v>
      </c>
      <c r="CO17" s="126">
        <v>0</v>
      </c>
      <c r="CP17" s="125">
        <v>50000</v>
      </c>
    </row>
    <row r="18" spans="2:94" x14ac:dyDescent="0.2">
      <c r="B18" s="8"/>
      <c r="C18" s="10">
        <v>223420.19</v>
      </c>
      <c r="D18" s="10">
        <v>205976.01999999996</v>
      </c>
      <c r="E18" s="10">
        <v>-17444.170000000006</v>
      </c>
      <c r="F18" s="10">
        <v>216090</v>
      </c>
      <c r="G18" s="10">
        <v>227969.72086493511</v>
      </c>
      <c r="H18" s="10">
        <v>4549.5308649351064</v>
      </c>
      <c r="I18" s="25">
        <v>11879.720864935107</v>
      </c>
      <c r="J18" s="23"/>
      <c r="K18" s="10">
        <v>0</v>
      </c>
      <c r="L18" s="10">
        <v>0</v>
      </c>
      <c r="M18" s="10">
        <v>0</v>
      </c>
      <c r="N18" s="10">
        <v>0</v>
      </c>
      <c r="O18" s="10">
        <v>55191.168698617315</v>
      </c>
      <c r="P18" s="10">
        <v>55191.168698617315</v>
      </c>
      <c r="Q18" s="25">
        <v>55191.168698617315</v>
      </c>
      <c r="R18" s="23"/>
      <c r="S18" s="10">
        <v>1236093</v>
      </c>
      <c r="T18" s="10">
        <v>1172377.3500000001</v>
      </c>
      <c r="U18" s="10">
        <v>-63715.650000000067</v>
      </c>
      <c r="V18" s="10">
        <v>1389479</v>
      </c>
      <c r="W18" s="10">
        <v>1305333.4723584615</v>
      </c>
      <c r="X18" s="10">
        <v>69240.472358461528</v>
      </c>
      <c r="Y18" s="25">
        <v>-84145.527641538487</v>
      </c>
      <c r="Z18" s="23"/>
      <c r="AA18" s="10">
        <v>1054416.45</v>
      </c>
      <c r="AB18" s="10">
        <v>941182.55</v>
      </c>
      <c r="AC18" s="10">
        <v>-113233.89999999994</v>
      </c>
      <c r="AD18" s="10">
        <v>1103599</v>
      </c>
      <c r="AE18" s="10">
        <v>1099036.0938892309</v>
      </c>
      <c r="AF18" s="10">
        <v>157853.54388923073</v>
      </c>
      <c r="AG18" s="25">
        <v>-4562.9061107692269</v>
      </c>
      <c r="AH18" s="23"/>
      <c r="AI18" s="10">
        <v>556166.28</v>
      </c>
      <c r="AJ18" s="10">
        <v>503345.69999999995</v>
      </c>
      <c r="AK18" s="10">
        <v>-52820.580000000009</v>
      </c>
      <c r="AL18" s="10">
        <v>631684</v>
      </c>
      <c r="AM18" s="10">
        <f>SUM(AM6:AM17)</f>
        <v>672605.14136417233</v>
      </c>
      <c r="AN18" s="10">
        <v>96438.86136417235</v>
      </c>
      <c r="AO18" s="25">
        <v>20921.141364172363</v>
      </c>
      <c r="AP18" s="23"/>
      <c r="AQ18" s="10">
        <v>520284.95999999996</v>
      </c>
      <c r="AR18" s="10">
        <v>498268.07</v>
      </c>
      <c r="AS18" s="10">
        <v>-22016.889999999919</v>
      </c>
      <c r="AT18" s="10">
        <v>573866</v>
      </c>
      <c r="AU18" s="10">
        <v>596261.55834923068</v>
      </c>
      <c r="AV18" s="10">
        <v>75976.59834923083</v>
      </c>
      <c r="AW18" s="25">
        <v>22395.558349230774</v>
      </c>
      <c r="AX18" s="23"/>
      <c r="AY18" s="10">
        <v>317313.74436536065</v>
      </c>
      <c r="AZ18" s="10">
        <v>301145.99</v>
      </c>
      <c r="BA18" s="10">
        <v>-16167.754365360626</v>
      </c>
      <c r="BB18" s="10">
        <v>358937</v>
      </c>
      <c r="BC18" s="10">
        <v>389412.25981480494</v>
      </c>
      <c r="BD18" s="10">
        <v>72098.515449444298</v>
      </c>
      <c r="BE18" s="25">
        <v>30475.259814804929</v>
      </c>
      <c r="BF18" s="23"/>
      <c r="BG18" s="10">
        <v>2603013.4140963634</v>
      </c>
      <c r="BH18" s="10">
        <v>2582740.4699999997</v>
      </c>
      <c r="BI18" s="10">
        <v>-20272.944096363091</v>
      </c>
      <c r="BJ18" s="10">
        <v>2730816</v>
      </c>
      <c r="BK18" s="10">
        <v>2738960.7179849297</v>
      </c>
      <c r="BL18" s="10">
        <v>135947.30388856673</v>
      </c>
      <c r="BM18" s="25">
        <v>8144.7179849296226</v>
      </c>
      <c r="BN18" s="23"/>
      <c r="BO18" s="10">
        <v>872523.21104260022</v>
      </c>
      <c r="BP18" s="10">
        <v>932315.10000000009</v>
      </c>
      <c r="BQ18" s="10">
        <v>59791.888957399926</v>
      </c>
      <c r="BR18" s="10">
        <v>823109</v>
      </c>
      <c r="BS18" s="10">
        <v>869745.03175897605</v>
      </c>
      <c r="BT18" s="10">
        <v>-2778.1792836240638</v>
      </c>
      <c r="BU18" s="25">
        <v>46636.031758976154</v>
      </c>
      <c r="BV18" s="23"/>
      <c r="BW18" s="10">
        <v>628526.02829266794</v>
      </c>
      <c r="BX18" s="10">
        <v>484059.56</v>
      </c>
      <c r="BY18" s="10">
        <v>-144466.468292668</v>
      </c>
      <c r="BZ18" s="10">
        <v>626558</v>
      </c>
      <c r="CA18" s="10">
        <v>671931.00048831594</v>
      </c>
      <c r="CB18" s="10">
        <v>43404.972195647948</v>
      </c>
      <c r="CC18" s="25">
        <v>45373.000488315913</v>
      </c>
      <c r="CD18" s="23"/>
      <c r="CE18" s="10">
        <v>8011757.2777969921</v>
      </c>
      <c r="CF18" s="10">
        <v>7621410.8099999987</v>
      </c>
      <c r="CG18" s="10">
        <v>-390346.46779699164</v>
      </c>
      <c r="CH18" s="10">
        <v>8454138</v>
      </c>
      <c r="CI18" s="10">
        <v>8606446.1655716747</v>
      </c>
      <c r="CJ18" s="10">
        <v>594688.88777468284</v>
      </c>
      <c r="CK18" s="25">
        <v>152308.16557167444</v>
      </c>
      <c r="CM18" s="110">
        <v>7.422702250637897E-2</v>
      </c>
      <c r="CN18" s="116">
        <v>1.8015812560863619E-2</v>
      </c>
      <c r="CO18" s="131">
        <v>0</v>
      </c>
      <c r="CP18" s="127">
        <v>8606446.1655716747</v>
      </c>
    </row>
    <row r="19" spans="2:94" ht="5.25" customHeight="1" x14ac:dyDescent="0.2">
      <c r="B19" s="8"/>
      <c r="C19" s="22"/>
      <c r="D19" s="23"/>
      <c r="E19" s="23"/>
      <c r="F19" s="23"/>
      <c r="G19" s="23"/>
      <c r="H19" s="23"/>
      <c r="I19" s="24"/>
      <c r="J19" s="23"/>
      <c r="K19" s="22"/>
      <c r="L19" s="23"/>
      <c r="M19" s="23"/>
      <c r="N19" s="23"/>
      <c r="O19" s="23"/>
      <c r="P19" s="23"/>
      <c r="Q19" s="24"/>
      <c r="R19" s="23"/>
      <c r="S19" s="22"/>
      <c r="T19" s="23"/>
      <c r="U19" s="23"/>
      <c r="V19" s="23"/>
      <c r="W19" s="23"/>
      <c r="X19" s="23"/>
      <c r="Y19" s="24"/>
      <c r="Z19" s="23"/>
      <c r="AA19" s="22"/>
      <c r="AB19" s="23"/>
      <c r="AC19" s="23"/>
      <c r="AD19" s="23"/>
      <c r="AE19" s="23"/>
      <c r="AF19" s="23"/>
      <c r="AG19" s="24"/>
      <c r="AH19" s="23"/>
      <c r="AI19" s="22"/>
      <c r="AJ19" s="23"/>
      <c r="AK19" s="23"/>
      <c r="AL19" s="23"/>
      <c r="AM19" s="23"/>
      <c r="AN19" s="23"/>
      <c r="AO19" s="24"/>
      <c r="AP19" s="23"/>
      <c r="AQ19" s="22"/>
      <c r="AR19" s="23"/>
      <c r="AS19" s="23"/>
      <c r="AT19" s="23"/>
      <c r="AU19" s="23"/>
      <c r="AV19" s="23"/>
      <c r="AW19" s="24"/>
      <c r="AX19" s="23"/>
      <c r="AY19" s="22"/>
      <c r="AZ19" s="23"/>
      <c r="BA19" s="23"/>
      <c r="BB19" s="23"/>
      <c r="BC19" s="23"/>
      <c r="BD19" s="23"/>
      <c r="BE19" s="24"/>
      <c r="BF19" s="23"/>
      <c r="BG19" s="22"/>
      <c r="BH19" s="23"/>
      <c r="BI19" s="23"/>
      <c r="BJ19" s="23"/>
      <c r="BK19" s="23"/>
      <c r="BL19" s="23"/>
      <c r="BM19" s="24"/>
      <c r="BN19" s="23"/>
      <c r="BO19" s="22"/>
      <c r="BP19" s="23"/>
      <c r="BQ19" s="23"/>
      <c r="BR19" s="23"/>
      <c r="BS19" s="23"/>
      <c r="BT19" s="23"/>
      <c r="BU19" s="24"/>
      <c r="BV19" s="23"/>
      <c r="BW19" s="22"/>
      <c r="BX19" s="23"/>
      <c r="BY19" s="23"/>
      <c r="BZ19" s="23"/>
      <c r="CA19" s="23"/>
      <c r="CB19" s="23"/>
      <c r="CC19" s="24"/>
      <c r="CD19" s="23"/>
      <c r="CE19" s="22"/>
      <c r="CF19" s="23"/>
      <c r="CG19" s="23"/>
      <c r="CH19" s="23"/>
      <c r="CI19" s="23"/>
      <c r="CJ19" s="23"/>
      <c r="CK19" s="24"/>
      <c r="CM19" s="22"/>
      <c r="CN19" s="114"/>
      <c r="CO19" s="126"/>
      <c r="CP19" s="124"/>
    </row>
    <row r="20" spans="2:94" x14ac:dyDescent="0.2">
      <c r="B20" s="8" t="s">
        <v>22</v>
      </c>
      <c r="C20" s="22">
        <v>28000</v>
      </c>
      <c r="D20" s="23">
        <v>48044.54</v>
      </c>
      <c r="E20" s="23">
        <v>20044.54</v>
      </c>
      <c r="F20" s="23">
        <v>22000</v>
      </c>
      <c r="G20" s="23">
        <v>35525</v>
      </c>
      <c r="H20" s="23">
        <v>7525</v>
      </c>
      <c r="I20" s="24">
        <v>13525</v>
      </c>
      <c r="J20" s="23"/>
      <c r="K20" s="22">
        <v>0</v>
      </c>
      <c r="L20" s="23">
        <v>0</v>
      </c>
      <c r="M20" s="23">
        <v>0</v>
      </c>
      <c r="N20" s="23">
        <v>0</v>
      </c>
      <c r="O20" s="23">
        <v>20000</v>
      </c>
      <c r="P20" s="23">
        <v>20000</v>
      </c>
      <c r="Q20" s="24">
        <v>20000</v>
      </c>
      <c r="R20" s="23"/>
      <c r="S20" s="22"/>
      <c r="T20" s="23"/>
      <c r="U20" s="23">
        <v>0</v>
      </c>
      <c r="V20" s="23"/>
      <c r="W20" s="23">
        <v>0</v>
      </c>
      <c r="X20" s="23">
        <v>0</v>
      </c>
      <c r="Y20" s="24">
        <v>0</v>
      </c>
      <c r="Z20" s="23"/>
      <c r="AA20" s="22"/>
      <c r="AB20" s="23"/>
      <c r="AC20" s="23">
        <v>0</v>
      </c>
      <c r="AD20" s="23"/>
      <c r="AE20" s="23">
        <v>3500</v>
      </c>
      <c r="AF20" s="23">
        <v>3500</v>
      </c>
      <c r="AG20" s="24">
        <v>3500</v>
      </c>
      <c r="AH20" s="23"/>
      <c r="AI20" s="22"/>
      <c r="AJ20" s="23">
        <v>8178.36</v>
      </c>
      <c r="AK20" s="23">
        <v>8178.36</v>
      </c>
      <c r="AL20" s="23">
        <v>0</v>
      </c>
      <c r="AM20" s="23">
        <v>4000</v>
      </c>
      <c r="AN20" s="23">
        <v>4000</v>
      </c>
      <c r="AO20" s="24">
        <v>4000</v>
      </c>
      <c r="AP20" s="23"/>
      <c r="AQ20" s="22"/>
      <c r="AR20" s="23"/>
      <c r="AS20" s="23">
        <v>0</v>
      </c>
      <c r="AT20" s="23">
        <v>0</v>
      </c>
      <c r="AU20" s="23">
        <v>4000</v>
      </c>
      <c r="AV20" s="23">
        <v>4000</v>
      </c>
      <c r="AW20" s="24">
        <v>4000</v>
      </c>
      <c r="AX20" s="23"/>
      <c r="AY20" s="22">
        <v>15000</v>
      </c>
      <c r="AZ20" s="23">
        <v>8668.9599999999991</v>
      </c>
      <c r="BA20" s="23">
        <v>-6331.0400000000009</v>
      </c>
      <c r="BB20" s="23">
        <v>4000</v>
      </c>
      <c r="BC20" s="23">
        <v>28500</v>
      </c>
      <c r="BD20" s="23">
        <v>13500</v>
      </c>
      <c r="BE20" s="24">
        <v>24500</v>
      </c>
      <c r="BF20" s="23"/>
      <c r="BG20" s="22">
        <v>5000</v>
      </c>
      <c r="BH20" s="23">
        <v>21476.66</v>
      </c>
      <c r="BI20" s="23">
        <v>16476.66</v>
      </c>
      <c r="BJ20" s="23">
        <v>19000</v>
      </c>
      <c r="BK20" s="23">
        <v>40000</v>
      </c>
      <c r="BL20" s="23">
        <v>35000</v>
      </c>
      <c r="BM20" s="24">
        <v>21000</v>
      </c>
      <c r="BN20" s="23"/>
      <c r="BO20" s="22">
        <v>10000</v>
      </c>
      <c r="BP20" s="23">
        <v>24494.02</v>
      </c>
      <c r="BQ20" s="23">
        <v>14494.02</v>
      </c>
      <c r="BR20" s="23">
        <v>10000</v>
      </c>
      <c r="BS20" s="23">
        <v>25000</v>
      </c>
      <c r="BT20" s="23">
        <v>15000</v>
      </c>
      <c r="BU20" s="24">
        <v>15000</v>
      </c>
      <c r="BV20" s="23"/>
      <c r="BW20" s="22"/>
      <c r="BX20" s="23">
        <v>47521.880000000005</v>
      </c>
      <c r="BY20" s="23">
        <v>47521.880000000005</v>
      </c>
      <c r="BZ20" s="23">
        <v>12000</v>
      </c>
      <c r="CA20" s="23">
        <v>12000</v>
      </c>
      <c r="CB20" s="23">
        <v>12000</v>
      </c>
      <c r="CC20" s="24">
        <v>0</v>
      </c>
      <c r="CD20" s="23"/>
      <c r="CE20" s="22">
        <v>58000</v>
      </c>
      <c r="CF20" s="23">
        <v>158384.42000000001</v>
      </c>
      <c r="CG20" s="23">
        <v>100384.42000000001</v>
      </c>
      <c r="CH20" s="23">
        <v>67000</v>
      </c>
      <c r="CI20" s="23">
        <v>172525</v>
      </c>
      <c r="CJ20" s="23">
        <v>114525</v>
      </c>
      <c r="CK20" s="24">
        <v>105525</v>
      </c>
      <c r="CM20" s="109">
        <v>1.9745689655172414</v>
      </c>
      <c r="CN20" s="119">
        <v>1.575</v>
      </c>
      <c r="CO20" s="126">
        <v>0</v>
      </c>
      <c r="CP20" s="124">
        <v>172525</v>
      </c>
    </row>
    <row r="21" spans="2:94" x14ac:dyDescent="0.2">
      <c r="B21" s="8" t="s">
        <v>13</v>
      </c>
      <c r="C21" s="22">
        <v>6000</v>
      </c>
      <c r="D21" s="23">
        <v>4112.03</v>
      </c>
      <c r="E21" s="23">
        <v>-1887.9700000000003</v>
      </c>
      <c r="F21" s="23">
        <v>11426</v>
      </c>
      <c r="G21" s="23">
        <v>14636</v>
      </c>
      <c r="H21" s="23">
        <v>8636</v>
      </c>
      <c r="I21" s="24">
        <v>3210</v>
      </c>
      <c r="J21" s="23"/>
      <c r="K21" s="22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4">
        <v>0</v>
      </c>
      <c r="R21" s="23"/>
      <c r="S21" s="22"/>
      <c r="T21" s="23"/>
      <c r="U21" s="23">
        <v>0</v>
      </c>
      <c r="V21" s="23">
        <v>0</v>
      </c>
      <c r="W21" s="23">
        <v>4500</v>
      </c>
      <c r="X21" s="23">
        <v>4500</v>
      </c>
      <c r="Y21" s="24">
        <v>4500</v>
      </c>
      <c r="Z21" s="23"/>
      <c r="AA21" s="22"/>
      <c r="AB21" s="23"/>
      <c r="AC21" s="23">
        <v>0</v>
      </c>
      <c r="AD21" s="23"/>
      <c r="AE21" s="23">
        <v>4500</v>
      </c>
      <c r="AF21" s="23">
        <v>4500</v>
      </c>
      <c r="AG21" s="24">
        <v>4500</v>
      </c>
      <c r="AH21" s="23"/>
      <c r="AI21" s="22"/>
      <c r="AJ21" s="23"/>
      <c r="AK21" s="23">
        <v>0</v>
      </c>
      <c r="AL21" s="23">
        <v>0</v>
      </c>
      <c r="AM21" s="23">
        <v>4500</v>
      </c>
      <c r="AN21" s="23">
        <v>4500</v>
      </c>
      <c r="AO21" s="24">
        <v>4500</v>
      </c>
      <c r="AP21" s="23"/>
      <c r="AQ21" s="22"/>
      <c r="AR21" s="23"/>
      <c r="AS21" s="23">
        <v>0</v>
      </c>
      <c r="AT21" s="23">
        <v>0</v>
      </c>
      <c r="AU21" s="23">
        <v>4500</v>
      </c>
      <c r="AV21" s="23">
        <v>4500</v>
      </c>
      <c r="AW21" s="24">
        <v>4500</v>
      </c>
      <c r="AX21" s="23"/>
      <c r="AY21" s="22"/>
      <c r="AZ21" s="23">
        <v>11571.95</v>
      </c>
      <c r="BA21" s="23">
        <v>11571.95</v>
      </c>
      <c r="BB21" s="23">
        <v>21000</v>
      </c>
      <c r="BC21" s="23">
        <v>36000</v>
      </c>
      <c r="BD21" s="23">
        <v>36000</v>
      </c>
      <c r="BE21" s="24">
        <v>15000</v>
      </c>
      <c r="BF21" s="23"/>
      <c r="BG21" s="22">
        <v>34000</v>
      </c>
      <c r="BH21" s="23">
        <v>33577.800000000003</v>
      </c>
      <c r="BI21" s="23">
        <v>-422.19999999999709</v>
      </c>
      <c r="BJ21" s="23">
        <v>58000</v>
      </c>
      <c r="BK21" s="23">
        <v>65852</v>
      </c>
      <c r="BL21" s="23">
        <v>31852</v>
      </c>
      <c r="BM21" s="24">
        <v>7852</v>
      </c>
      <c r="BN21" s="23"/>
      <c r="BO21" s="22"/>
      <c r="BP21" s="23">
        <v>9965.85</v>
      </c>
      <c r="BQ21" s="23">
        <v>9965.85</v>
      </c>
      <c r="BR21" s="23">
        <v>28000</v>
      </c>
      <c r="BS21" s="23">
        <v>37000</v>
      </c>
      <c r="BT21" s="23">
        <v>37000</v>
      </c>
      <c r="BU21" s="24">
        <v>9000</v>
      </c>
      <c r="BV21" s="23"/>
      <c r="BW21" s="22">
        <v>11316</v>
      </c>
      <c r="BX21" s="23">
        <v>13443.49</v>
      </c>
      <c r="BY21" s="23">
        <v>2127.4899999999998</v>
      </c>
      <c r="BZ21" s="23">
        <v>21000</v>
      </c>
      <c r="CA21" s="23">
        <v>12000</v>
      </c>
      <c r="CB21" s="23">
        <v>684</v>
      </c>
      <c r="CC21" s="24">
        <v>-9000</v>
      </c>
      <c r="CD21" s="23"/>
      <c r="CE21" s="22">
        <v>51316</v>
      </c>
      <c r="CF21" s="23">
        <v>72671.12</v>
      </c>
      <c r="CG21" s="23">
        <v>21355.119999999995</v>
      </c>
      <c r="CH21" s="23">
        <v>139426</v>
      </c>
      <c r="CI21" s="139">
        <v>183488</v>
      </c>
      <c r="CJ21" s="23">
        <v>132172</v>
      </c>
      <c r="CK21" s="24">
        <v>44062</v>
      </c>
      <c r="CM21" s="112">
        <v>2.5756489204146855</v>
      </c>
      <c r="CN21" s="118">
        <v>0.31602427093942309</v>
      </c>
      <c r="CO21" s="126">
        <v>0</v>
      </c>
      <c r="CP21" s="124">
        <v>183488</v>
      </c>
    </row>
    <row r="22" spans="2:94" x14ac:dyDescent="0.2">
      <c r="B22" s="8"/>
      <c r="C22" s="10">
        <v>34000</v>
      </c>
      <c r="D22" s="10">
        <v>52156.57</v>
      </c>
      <c r="E22" s="10">
        <v>18156.57</v>
      </c>
      <c r="F22" s="10">
        <v>33426</v>
      </c>
      <c r="G22" s="10">
        <v>50161</v>
      </c>
      <c r="H22" s="10">
        <v>16161</v>
      </c>
      <c r="I22" s="25">
        <v>16735</v>
      </c>
      <c r="J22" s="23"/>
      <c r="K22" s="10">
        <v>0</v>
      </c>
      <c r="L22" s="10">
        <v>0</v>
      </c>
      <c r="M22" s="10">
        <v>0</v>
      </c>
      <c r="N22" s="10">
        <v>0</v>
      </c>
      <c r="O22" s="10">
        <v>20000</v>
      </c>
      <c r="P22" s="10">
        <v>20000</v>
      </c>
      <c r="Q22" s="25">
        <v>20000</v>
      </c>
      <c r="R22" s="23"/>
      <c r="S22" s="10">
        <v>0</v>
      </c>
      <c r="T22" s="10">
        <v>0</v>
      </c>
      <c r="U22" s="10">
        <v>0</v>
      </c>
      <c r="V22" s="10">
        <v>0</v>
      </c>
      <c r="W22" s="10">
        <v>4500</v>
      </c>
      <c r="X22" s="10">
        <v>4500</v>
      </c>
      <c r="Y22" s="25">
        <v>4500</v>
      </c>
      <c r="Z22" s="23"/>
      <c r="AA22" s="10">
        <v>0</v>
      </c>
      <c r="AB22" s="10">
        <v>0</v>
      </c>
      <c r="AC22" s="10">
        <v>0</v>
      </c>
      <c r="AD22" s="10">
        <v>0</v>
      </c>
      <c r="AE22" s="10">
        <v>8000</v>
      </c>
      <c r="AF22" s="10">
        <v>8000</v>
      </c>
      <c r="AG22" s="25">
        <v>8000</v>
      </c>
      <c r="AH22" s="23"/>
      <c r="AI22" s="10">
        <v>0</v>
      </c>
      <c r="AJ22" s="10">
        <v>8178.36</v>
      </c>
      <c r="AK22" s="10">
        <v>8178.36</v>
      </c>
      <c r="AL22" s="10">
        <v>0</v>
      </c>
      <c r="AM22" s="10">
        <v>8500</v>
      </c>
      <c r="AN22" s="10">
        <v>8500</v>
      </c>
      <c r="AO22" s="25">
        <v>8500</v>
      </c>
      <c r="AP22" s="23"/>
      <c r="AQ22" s="10">
        <v>0</v>
      </c>
      <c r="AR22" s="10">
        <v>0</v>
      </c>
      <c r="AS22" s="10">
        <v>0</v>
      </c>
      <c r="AT22" s="10">
        <v>0</v>
      </c>
      <c r="AU22" s="10">
        <v>8500</v>
      </c>
      <c r="AV22" s="10">
        <v>8500</v>
      </c>
      <c r="AW22" s="25">
        <v>8500</v>
      </c>
      <c r="AX22" s="23"/>
      <c r="AY22" s="10">
        <v>15000</v>
      </c>
      <c r="AZ22" s="10">
        <v>20240.91</v>
      </c>
      <c r="BA22" s="10">
        <v>5240.91</v>
      </c>
      <c r="BB22" s="10">
        <v>25000</v>
      </c>
      <c r="BC22" s="10">
        <v>64500</v>
      </c>
      <c r="BD22" s="10">
        <v>49500</v>
      </c>
      <c r="BE22" s="25">
        <v>39500</v>
      </c>
      <c r="BF22" s="23"/>
      <c r="BG22" s="10">
        <v>39000</v>
      </c>
      <c r="BH22" s="10">
        <v>55054.460000000006</v>
      </c>
      <c r="BI22" s="10">
        <v>16054.460000000003</v>
      </c>
      <c r="BJ22" s="10">
        <v>77000</v>
      </c>
      <c r="BK22" s="10">
        <v>105852</v>
      </c>
      <c r="BL22" s="10">
        <v>66852</v>
      </c>
      <c r="BM22" s="25">
        <v>28852</v>
      </c>
      <c r="BN22" s="23"/>
      <c r="BO22" s="10">
        <v>10000</v>
      </c>
      <c r="BP22" s="10">
        <v>34459.870000000003</v>
      </c>
      <c r="BQ22" s="10">
        <v>24459.870000000003</v>
      </c>
      <c r="BR22" s="10">
        <v>38000</v>
      </c>
      <c r="BS22" s="10">
        <v>62000</v>
      </c>
      <c r="BT22" s="10">
        <v>52000</v>
      </c>
      <c r="BU22" s="25">
        <v>24000</v>
      </c>
      <c r="BV22" s="23"/>
      <c r="BW22" s="10">
        <v>11316</v>
      </c>
      <c r="BX22" s="10">
        <v>60965.37</v>
      </c>
      <c r="BY22" s="10">
        <v>49649.37</v>
      </c>
      <c r="BZ22" s="10">
        <v>33000</v>
      </c>
      <c r="CA22" s="10">
        <v>24000</v>
      </c>
      <c r="CB22" s="10">
        <v>12684</v>
      </c>
      <c r="CC22" s="25">
        <v>-9000</v>
      </c>
      <c r="CD22" s="23"/>
      <c r="CE22" s="10">
        <v>109316</v>
      </c>
      <c r="CF22" s="10">
        <v>231055.54</v>
      </c>
      <c r="CG22" s="10">
        <v>121739.54000000001</v>
      </c>
      <c r="CH22" s="10">
        <v>206426</v>
      </c>
      <c r="CI22" s="10">
        <v>356013</v>
      </c>
      <c r="CJ22" s="10">
        <v>246697</v>
      </c>
      <c r="CK22" s="25">
        <v>149587</v>
      </c>
      <c r="CM22" s="110">
        <v>2.2567327747081856</v>
      </c>
      <c r="CN22" s="116">
        <v>0.72465193338048506</v>
      </c>
      <c r="CO22" s="131">
        <v>0</v>
      </c>
      <c r="CP22" s="127">
        <v>356013</v>
      </c>
    </row>
    <row r="23" spans="2:94" ht="7.5" customHeight="1" x14ac:dyDescent="0.2">
      <c r="B23" s="8"/>
      <c r="C23" s="22"/>
      <c r="D23" s="23"/>
      <c r="E23" s="23"/>
      <c r="F23" s="23"/>
      <c r="G23" s="23"/>
      <c r="H23" s="23"/>
      <c r="I23" s="24"/>
      <c r="J23" s="23"/>
      <c r="K23" s="22"/>
      <c r="L23" s="23"/>
      <c r="M23" s="23"/>
      <c r="N23" s="23"/>
      <c r="O23" s="23"/>
      <c r="P23" s="23"/>
      <c r="Q23" s="24"/>
      <c r="R23" s="23"/>
      <c r="S23" s="22"/>
      <c r="T23" s="23"/>
      <c r="U23" s="23"/>
      <c r="V23" s="23"/>
      <c r="W23" s="23"/>
      <c r="X23" s="23"/>
      <c r="Y23" s="24"/>
      <c r="Z23" s="23"/>
      <c r="AA23" s="22"/>
      <c r="AB23" s="23"/>
      <c r="AC23" s="23"/>
      <c r="AD23" s="23"/>
      <c r="AE23" s="23"/>
      <c r="AF23" s="23"/>
      <c r="AG23" s="24"/>
      <c r="AH23" s="23"/>
      <c r="AI23" s="22"/>
      <c r="AJ23" s="23"/>
      <c r="AK23" s="23"/>
      <c r="AL23" s="23"/>
      <c r="AM23" s="23"/>
      <c r="AN23" s="23"/>
      <c r="AO23" s="24"/>
      <c r="AP23" s="23"/>
      <c r="AQ23" s="22"/>
      <c r="AR23" s="23"/>
      <c r="AS23" s="23"/>
      <c r="AT23" s="23"/>
      <c r="AU23" s="23"/>
      <c r="AV23" s="23"/>
      <c r="AW23" s="24"/>
      <c r="AX23" s="23"/>
      <c r="AY23" s="22"/>
      <c r="AZ23" s="23"/>
      <c r="BA23" s="23"/>
      <c r="BB23" s="23"/>
      <c r="BC23" s="23"/>
      <c r="BD23" s="23"/>
      <c r="BE23" s="24"/>
      <c r="BF23" s="23"/>
      <c r="BG23" s="22"/>
      <c r="BH23" s="23"/>
      <c r="BI23" s="23"/>
      <c r="BJ23" s="23"/>
      <c r="BK23" s="23"/>
      <c r="BL23" s="23"/>
      <c r="BM23" s="24"/>
      <c r="BN23" s="23"/>
      <c r="BO23" s="22"/>
      <c r="BP23" s="23"/>
      <c r="BQ23" s="23"/>
      <c r="BR23" s="23"/>
      <c r="BS23" s="23"/>
      <c r="BT23" s="23"/>
      <c r="BU23" s="24"/>
      <c r="BV23" s="23"/>
      <c r="BW23" s="22"/>
      <c r="BX23" s="23"/>
      <c r="BY23" s="23"/>
      <c r="BZ23" s="23"/>
      <c r="CA23" s="23"/>
      <c r="CB23" s="23"/>
      <c r="CC23" s="24"/>
      <c r="CD23" s="23"/>
      <c r="CE23" s="22"/>
      <c r="CF23" s="23"/>
      <c r="CG23" s="23"/>
      <c r="CH23" s="23"/>
      <c r="CI23" s="23"/>
      <c r="CJ23" s="23"/>
      <c r="CK23" s="24"/>
      <c r="CM23" s="22"/>
      <c r="CN23" s="114"/>
      <c r="CO23" s="126"/>
      <c r="CP23" s="124"/>
    </row>
    <row r="24" spans="2:94" x14ac:dyDescent="0.2">
      <c r="B24" s="8" t="s">
        <v>72</v>
      </c>
      <c r="C24" s="22">
        <v>0</v>
      </c>
      <c r="D24" s="23"/>
      <c r="E24" s="23">
        <v>0</v>
      </c>
      <c r="F24" s="23">
        <v>50992</v>
      </c>
      <c r="G24" s="23">
        <v>0</v>
      </c>
      <c r="H24" s="23">
        <v>0</v>
      </c>
      <c r="I24" s="24">
        <v>-50992</v>
      </c>
      <c r="J24" s="23"/>
      <c r="K24" s="22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4">
        <v>0</v>
      </c>
      <c r="R24" s="23"/>
      <c r="S24" s="22"/>
      <c r="T24" s="23">
        <v>600</v>
      </c>
      <c r="U24" s="23">
        <v>600</v>
      </c>
      <c r="V24" s="23">
        <v>15000</v>
      </c>
      <c r="W24" s="23">
        <v>10000</v>
      </c>
      <c r="X24" s="23">
        <v>10000</v>
      </c>
      <c r="Y24" s="24">
        <v>-5000</v>
      </c>
      <c r="Z24" s="23"/>
      <c r="AA24" s="22">
        <v>7890</v>
      </c>
      <c r="AB24" s="23">
        <v>9307.39</v>
      </c>
      <c r="AC24" s="23">
        <v>1417.3899999999994</v>
      </c>
      <c r="AD24" s="23"/>
      <c r="AE24" s="23">
        <v>10000</v>
      </c>
      <c r="AF24" s="23">
        <v>692.61000000000058</v>
      </c>
      <c r="AG24" s="24">
        <v>10000</v>
      </c>
      <c r="AH24" s="23"/>
      <c r="AI24" s="22"/>
      <c r="AJ24" s="23">
        <v>35806.370000000003</v>
      </c>
      <c r="AK24" s="23">
        <v>35806.370000000003</v>
      </c>
      <c r="AL24" s="23">
        <v>25000</v>
      </c>
      <c r="AM24" s="23">
        <v>10000</v>
      </c>
      <c r="AN24" s="23">
        <v>10000</v>
      </c>
      <c r="AO24" s="24">
        <v>-15000</v>
      </c>
      <c r="AP24" s="23"/>
      <c r="AQ24" s="22">
        <v>27300</v>
      </c>
      <c r="AR24" s="23">
        <v>64162.31</v>
      </c>
      <c r="AS24" s="23">
        <v>36862.31</v>
      </c>
      <c r="AT24" s="23">
        <v>7200</v>
      </c>
      <c r="AU24" s="23">
        <v>7200</v>
      </c>
      <c r="AV24" s="23">
        <v>-20100</v>
      </c>
      <c r="AW24" s="24">
        <v>0</v>
      </c>
      <c r="AX24" s="23"/>
      <c r="AY24" s="22">
        <v>30000</v>
      </c>
      <c r="AZ24" s="23">
        <v>28706.809999999998</v>
      </c>
      <c r="BA24" s="23">
        <v>-1293.1900000000023</v>
      </c>
      <c r="BB24" s="23">
        <v>0</v>
      </c>
      <c r="BC24" s="23">
        <v>0</v>
      </c>
      <c r="BD24" s="23">
        <v>-30000</v>
      </c>
      <c r="BE24" s="24">
        <v>0</v>
      </c>
      <c r="BF24" s="23"/>
      <c r="BG24" s="22"/>
      <c r="BH24" s="23"/>
      <c r="BI24" s="23">
        <v>0</v>
      </c>
      <c r="BJ24" s="23">
        <v>0</v>
      </c>
      <c r="BK24" s="23">
        <v>13000</v>
      </c>
      <c r="BL24" s="23">
        <v>13000</v>
      </c>
      <c r="BM24" s="24">
        <v>13000</v>
      </c>
      <c r="BN24" s="23"/>
      <c r="BO24" s="22">
        <v>52000</v>
      </c>
      <c r="BP24" s="23">
        <v>138273.12</v>
      </c>
      <c r="BQ24" s="23">
        <v>86273.12</v>
      </c>
      <c r="BR24" s="23">
        <v>76000</v>
      </c>
      <c r="BS24" s="23">
        <v>76000</v>
      </c>
      <c r="BT24" s="23">
        <v>24000</v>
      </c>
      <c r="BU24" s="24">
        <v>0</v>
      </c>
      <c r="BV24" s="23"/>
      <c r="BW24" s="22">
        <v>46000</v>
      </c>
      <c r="BX24" s="23">
        <v>63409.179999999993</v>
      </c>
      <c r="BY24" s="23">
        <v>17409.179999999993</v>
      </c>
      <c r="BZ24" s="23">
        <v>54000</v>
      </c>
      <c r="CA24" s="23">
        <v>54000</v>
      </c>
      <c r="CB24" s="23">
        <v>8000</v>
      </c>
      <c r="CC24" s="24">
        <v>0</v>
      </c>
      <c r="CD24" s="23"/>
      <c r="CE24" s="22">
        <v>163190</v>
      </c>
      <c r="CF24" s="23">
        <v>340265.18</v>
      </c>
      <c r="CG24" s="23">
        <v>177075.18</v>
      </c>
      <c r="CH24" s="23">
        <v>228192</v>
      </c>
      <c r="CI24" s="23">
        <v>180200</v>
      </c>
      <c r="CJ24" s="23">
        <v>17010</v>
      </c>
      <c r="CK24" s="24">
        <v>-47992</v>
      </c>
      <c r="CM24" s="109">
        <v>0.10423432808382867</v>
      </c>
      <c r="CN24" s="113">
        <v>-0.21031412144159303</v>
      </c>
      <c r="CO24" s="126"/>
      <c r="CP24" s="124">
        <v>180200</v>
      </c>
    </row>
    <row r="25" spans="2:94" x14ac:dyDescent="0.2">
      <c r="B25" s="8" t="s">
        <v>147</v>
      </c>
      <c r="C25" s="22">
        <v>30000</v>
      </c>
      <c r="D25" s="23">
        <v>27443.7</v>
      </c>
      <c r="E25" s="23">
        <v>-2556.2999999999993</v>
      </c>
      <c r="F25" s="23">
        <v>0</v>
      </c>
      <c r="G25" s="23">
        <v>50992</v>
      </c>
      <c r="H25" s="23">
        <v>20992</v>
      </c>
      <c r="I25" s="24">
        <v>50992</v>
      </c>
      <c r="J25" s="23"/>
      <c r="K25" s="22">
        <v>0</v>
      </c>
      <c r="L25" s="23">
        <v>0</v>
      </c>
      <c r="M25" s="23">
        <v>0</v>
      </c>
      <c r="N25" s="23">
        <v>0</v>
      </c>
      <c r="O25" s="23">
        <v>50000</v>
      </c>
      <c r="P25" s="23">
        <v>50000</v>
      </c>
      <c r="Q25" s="24">
        <v>50000</v>
      </c>
      <c r="R25" s="23"/>
      <c r="S25" s="22"/>
      <c r="T25" s="23"/>
      <c r="U25" s="23">
        <v>0</v>
      </c>
      <c r="V25" s="23">
        <v>0</v>
      </c>
      <c r="W25" s="23">
        <v>0</v>
      </c>
      <c r="X25" s="23">
        <v>0</v>
      </c>
      <c r="Y25" s="24">
        <v>0</v>
      </c>
      <c r="Z25" s="23"/>
      <c r="AA25" s="22"/>
      <c r="AB25" s="23"/>
      <c r="AC25" s="23">
        <v>0</v>
      </c>
      <c r="AD25" s="23"/>
      <c r="AE25" s="23">
        <v>0</v>
      </c>
      <c r="AF25" s="23">
        <v>0</v>
      </c>
      <c r="AG25" s="24">
        <v>0</v>
      </c>
      <c r="AH25" s="23"/>
      <c r="AI25" s="22"/>
      <c r="AJ25" s="23"/>
      <c r="AK25" s="23">
        <v>0</v>
      </c>
      <c r="AL25" s="23">
        <v>0</v>
      </c>
      <c r="AM25" s="23">
        <v>0</v>
      </c>
      <c r="AN25" s="23">
        <v>0</v>
      </c>
      <c r="AO25" s="24">
        <v>0</v>
      </c>
      <c r="AP25" s="23"/>
      <c r="AQ25" s="22"/>
      <c r="AR25" s="23"/>
      <c r="AS25" s="23">
        <v>0</v>
      </c>
      <c r="AT25" s="23">
        <v>0</v>
      </c>
      <c r="AU25" s="23">
        <v>0</v>
      </c>
      <c r="AV25" s="23">
        <v>0</v>
      </c>
      <c r="AW25" s="24">
        <v>0</v>
      </c>
      <c r="AX25" s="23"/>
      <c r="AY25" s="22">
        <v>25000</v>
      </c>
      <c r="AZ25" s="23">
        <v>36327</v>
      </c>
      <c r="BA25" s="23">
        <v>11327</v>
      </c>
      <c r="BB25" s="23">
        <v>95000</v>
      </c>
      <c r="BC25" s="23">
        <v>34000</v>
      </c>
      <c r="BD25" s="23">
        <v>9000</v>
      </c>
      <c r="BE25" s="24">
        <v>-61000</v>
      </c>
      <c r="BF25" s="23"/>
      <c r="BG25" s="22"/>
      <c r="BH25" s="23"/>
      <c r="BI25" s="23">
        <v>0</v>
      </c>
      <c r="BJ25" s="23">
        <v>0</v>
      </c>
      <c r="BK25" s="23">
        <v>0</v>
      </c>
      <c r="BL25" s="23">
        <v>0</v>
      </c>
      <c r="BM25" s="24">
        <v>0</v>
      </c>
      <c r="BN25" s="23"/>
      <c r="BO25" s="22">
        <v>96000</v>
      </c>
      <c r="BP25" s="23">
        <v>71403.28</v>
      </c>
      <c r="BQ25" s="23">
        <v>-24596.720000000001</v>
      </c>
      <c r="BR25" s="23">
        <v>33000</v>
      </c>
      <c r="BS25" s="23">
        <v>39000</v>
      </c>
      <c r="BT25" s="23">
        <v>-57000</v>
      </c>
      <c r="BU25" s="24">
        <v>6000</v>
      </c>
      <c r="BV25" s="23"/>
      <c r="BW25" s="22"/>
      <c r="BX25" s="23"/>
      <c r="BY25" s="23">
        <v>0</v>
      </c>
      <c r="BZ25" s="23">
        <v>0</v>
      </c>
      <c r="CA25" s="23">
        <v>0</v>
      </c>
      <c r="CB25" s="23">
        <v>0</v>
      </c>
      <c r="CC25" s="24">
        <v>0</v>
      </c>
      <c r="CD25" s="23"/>
      <c r="CE25" s="22">
        <v>151000</v>
      </c>
      <c r="CF25" s="23">
        <v>135173.97999999998</v>
      </c>
      <c r="CG25" s="23">
        <v>-15826.020000000019</v>
      </c>
      <c r="CH25" s="23">
        <v>128000</v>
      </c>
      <c r="CI25" s="23">
        <v>173992</v>
      </c>
      <c r="CJ25" s="23">
        <v>22992</v>
      </c>
      <c r="CK25" s="24">
        <v>45992</v>
      </c>
      <c r="CM25" s="111">
        <v>0.15226490066225165</v>
      </c>
      <c r="CN25" s="114">
        <v>0.35931249999999998</v>
      </c>
      <c r="CO25" s="126"/>
      <c r="CP25" s="124">
        <v>173992</v>
      </c>
    </row>
    <row r="26" spans="2:94" x14ac:dyDescent="0.2">
      <c r="B26" s="8" t="s">
        <v>16</v>
      </c>
      <c r="C26" s="22"/>
      <c r="D26" s="23"/>
      <c r="E26" s="23">
        <v>0</v>
      </c>
      <c r="F26" s="23">
        <v>0</v>
      </c>
      <c r="G26" s="23">
        <v>0</v>
      </c>
      <c r="H26" s="23">
        <v>0</v>
      </c>
      <c r="I26" s="24">
        <v>0</v>
      </c>
      <c r="J26" s="23"/>
      <c r="K26" s="22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4">
        <v>0</v>
      </c>
      <c r="R26" s="23"/>
      <c r="S26" s="22"/>
      <c r="T26" s="23"/>
      <c r="U26" s="23">
        <v>0</v>
      </c>
      <c r="V26" s="23">
        <v>0</v>
      </c>
      <c r="W26" s="23">
        <v>0</v>
      </c>
      <c r="X26" s="23">
        <v>0</v>
      </c>
      <c r="Y26" s="24">
        <v>0</v>
      </c>
      <c r="Z26" s="23"/>
      <c r="AA26" s="22"/>
      <c r="AB26" s="23"/>
      <c r="AC26" s="23">
        <v>0</v>
      </c>
      <c r="AD26" s="23"/>
      <c r="AE26" s="23">
        <v>0</v>
      </c>
      <c r="AF26" s="23">
        <v>0</v>
      </c>
      <c r="AG26" s="24">
        <v>0</v>
      </c>
      <c r="AH26" s="23"/>
      <c r="AI26" s="22"/>
      <c r="AJ26" s="23"/>
      <c r="AK26" s="23">
        <v>0</v>
      </c>
      <c r="AL26" s="23">
        <v>0</v>
      </c>
      <c r="AM26" s="23">
        <v>0</v>
      </c>
      <c r="AN26" s="23">
        <v>0</v>
      </c>
      <c r="AO26" s="24">
        <v>0</v>
      </c>
      <c r="AP26" s="23"/>
      <c r="AQ26" s="22"/>
      <c r="AR26" s="23"/>
      <c r="AS26" s="23">
        <v>0</v>
      </c>
      <c r="AT26" s="23">
        <v>0</v>
      </c>
      <c r="AU26" s="23">
        <v>0</v>
      </c>
      <c r="AV26" s="23">
        <v>0</v>
      </c>
      <c r="AW26" s="24">
        <v>0</v>
      </c>
      <c r="AX26" s="23"/>
      <c r="AY26" s="22"/>
      <c r="AZ26" s="23"/>
      <c r="BA26" s="23">
        <v>0</v>
      </c>
      <c r="BB26" s="23">
        <v>0</v>
      </c>
      <c r="BC26" s="23">
        <v>0</v>
      </c>
      <c r="BD26" s="23">
        <v>0</v>
      </c>
      <c r="BE26" s="24">
        <v>0</v>
      </c>
      <c r="BF26" s="23"/>
      <c r="BG26" s="22"/>
      <c r="BH26" s="23"/>
      <c r="BI26" s="23">
        <v>0</v>
      </c>
      <c r="BJ26" s="23">
        <v>0</v>
      </c>
      <c r="BK26" s="23">
        <v>0</v>
      </c>
      <c r="BL26" s="23">
        <v>0</v>
      </c>
      <c r="BM26" s="24">
        <v>0</v>
      </c>
      <c r="BN26" s="23"/>
      <c r="BO26" s="22"/>
      <c r="BP26" s="23"/>
      <c r="BQ26" s="23">
        <v>0</v>
      </c>
      <c r="BR26" s="23">
        <v>98576</v>
      </c>
      <c r="BS26" s="23">
        <v>98739</v>
      </c>
      <c r="BT26" s="23">
        <v>98739</v>
      </c>
      <c r="BU26" s="24">
        <v>163</v>
      </c>
      <c r="BV26" s="23"/>
      <c r="BW26" s="22"/>
      <c r="BX26" s="23"/>
      <c r="BY26" s="23">
        <v>0</v>
      </c>
      <c r="BZ26" s="23">
        <v>0</v>
      </c>
      <c r="CA26" s="23">
        <v>0</v>
      </c>
      <c r="CB26" s="23">
        <v>0</v>
      </c>
      <c r="CC26" s="24">
        <v>0</v>
      </c>
      <c r="CD26" s="23"/>
      <c r="CE26" s="22">
        <v>0</v>
      </c>
      <c r="CF26" s="23">
        <v>0</v>
      </c>
      <c r="CG26" s="23">
        <v>0</v>
      </c>
      <c r="CH26" s="23">
        <v>98576</v>
      </c>
      <c r="CI26" s="139">
        <v>98739</v>
      </c>
      <c r="CJ26" s="23">
        <v>98739</v>
      </c>
      <c r="CK26" s="24">
        <v>163</v>
      </c>
      <c r="CM26" s="112">
        <v>0</v>
      </c>
      <c r="CN26" s="115">
        <v>1.6535465021912028E-3</v>
      </c>
      <c r="CO26" s="126"/>
      <c r="CP26" s="124">
        <v>98739</v>
      </c>
    </row>
    <row r="27" spans="2:94" x14ac:dyDescent="0.2">
      <c r="B27" s="8"/>
      <c r="C27" s="10">
        <v>30000</v>
      </c>
      <c r="D27" s="10">
        <v>27443.7</v>
      </c>
      <c r="E27" s="10">
        <v>-2556.2999999999993</v>
      </c>
      <c r="F27" s="10">
        <v>50992</v>
      </c>
      <c r="G27" s="10">
        <v>50992</v>
      </c>
      <c r="H27" s="10">
        <v>20992</v>
      </c>
      <c r="I27" s="25">
        <v>0</v>
      </c>
      <c r="J27" s="23"/>
      <c r="K27" s="10">
        <v>0</v>
      </c>
      <c r="L27" s="10">
        <v>0</v>
      </c>
      <c r="M27" s="10">
        <v>0</v>
      </c>
      <c r="N27" s="10">
        <v>0</v>
      </c>
      <c r="O27" s="10">
        <v>50000</v>
      </c>
      <c r="P27" s="10">
        <v>50000</v>
      </c>
      <c r="Q27" s="25">
        <v>50000</v>
      </c>
      <c r="R27" s="23"/>
      <c r="S27" s="10">
        <v>0</v>
      </c>
      <c r="T27" s="10">
        <v>600</v>
      </c>
      <c r="U27" s="10">
        <v>600</v>
      </c>
      <c r="V27" s="10">
        <v>15000</v>
      </c>
      <c r="W27" s="10">
        <v>10000</v>
      </c>
      <c r="X27" s="10">
        <v>10000</v>
      </c>
      <c r="Y27" s="25">
        <v>-5000</v>
      </c>
      <c r="Z27" s="23"/>
      <c r="AA27" s="10">
        <v>7890</v>
      </c>
      <c r="AB27" s="10">
        <v>9307.39</v>
      </c>
      <c r="AC27" s="10">
        <v>1417.3899999999994</v>
      </c>
      <c r="AD27" s="10">
        <v>0</v>
      </c>
      <c r="AE27" s="10">
        <v>10000</v>
      </c>
      <c r="AF27" s="10">
        <v>692.61000000000058</v>
      </c>
      <c r="AG27" s="25">
        <v>10000</v>
      </c>
      <c r="AH27" s="23"/>
      <c r="AI27" s="10">
        <v>0</v>
      </c>
      <c r="AJ27" s="10">
        <v>35806.370000000003</v>
      </c>
      <c r="AK27" s="10">
        <v>35806.370000000003</v>
      </c>
      <c r="AL27" s="10">
        <v>25000</v>
      </c>
      <c r="AM27" s="10">
        <v>10000</v>
      </c>
      <c r="AN27" s="10">
        <v>10000</v>
      </c>
      <c r="AO27" s="25">
        <v>-15000</v>
      </c>
      <c r="AP27" s="23"/>
      <c r="AQ27" s="10">
        <v>27300</v>
      </c>
      <c r="AR27" s="10">
        <v>64162.31</v>
      </c>
      <c r="AS27" s="10">
        <v>36862.31</v>
      </c>
      <c r="AT27" s="10">
        <v>7200</v>
      </c>
      <c r="AU27" s="10">
        <v>7200</v>
      </c>
      <c r="AV27" s="10">
        <v>-20100</v>
      </c>
      <c r="AW27" s="25">
        <v>0</v>
      </c>
      <c r="AX27" s="23"/>
      <c r="AY27" s="10">
        <v>55000</v>
      </c>
      <c r="AZ27" s="10">
        <v>65033.81</v>
      </c>
      <c r="BA27" s="10">
        <v>10033.809999999998</v>
      </c>
      <c r="BB27" s="10">
        <v>95000</v>
      </c>
      <c r="BC27" s="10">
        <v>34000</v>
      </c>
      <c r="BD27" s="10">
        <v>-21000</v>
      </c>
      <c r="BE27" s="25">
        <v>-61000</v>
      </c>
      <c r="BF27" s="23"/>
      <c r="BG27" s="10">
        <v>0</v>
      </c>
      <c r="BH27" s="10">
        <v>0</v>
      </c>
      <c r="BI27" s="10">
        <v>0</v>
      </c>
      <c r="BJ27" s="10">
        <v>0</v>
      </c>
      <c r="BK27" s="10">
        <v>13000</v>
      </c>
      <c r="BL27" s="10">
        <v>13000</v>
      </c>
      <c r="BM27" s="25">
        <v>13000</v>
      </c>
      <c r="BN27" s="23"/>
      <c r="BO27" s="10">
        <v>148000</v>
      </c>
      <c r="BP27" s="10">
        <v>209676.4</v>
      </c>
      <c r="BQ27" s="10">
        <v>61676.399999999994</v>
      </c>
      <c r="BR27" s="10">
        <v>207576</v>
      </c>
      <c r="BS27" s="10">
        <v>213739</v>
      </c>
      <c r="BT27" s="10">
        <v>65739</v>
      </c>
      <c r="BU27" s="25">
        <v>6163</v>
      </c>
      <c r="BV27" s="23"/>
      <c r="BW27" s="10">
        <v>46000</v>
      </c>
      <c r="BX27" s="10">
        <v>63409.179999999993</v>
      </c>
      <c r="BY27" s="10">
        <v>17409.179999999993</v>
      </c>
      <c r="BZ27" s="10">
        <v>54000</v>
      </c>
      <c r="CA27" s="10">
        <v>54000</v>
      </c>
      <c r="CB27" s="10">
        <v>8000</v>
      </c>
      <c r="CC27" s="25">
        <v>0</v>
      </c>
      <c r="CD27" s="23"/>
      <c r="CE27" s="10">
        <v>314190</v>
      </c>
      <c r="CF27" s="10">
        <v>475439.16</v>
      </c>
      <c r="CG27" s="10">
        <v>161249.15999999997</v>
      </c>
      <c r="CH27" s="10">
        <v>454768</v>
      </c>
      <c r="CI27" s="10">
        <v>452931</v>
      </c>
      <c r="CJ27" s="10">
        <v>138741</v>
      </c>
      <c r="CK27" s="25">
        <v>-1837</v>
      </c>
      <c r="CM27" s="111">
        <v>0.44158311849517806</v>
      </c>
      <c r="CN27" s="113">
        <v>-4.0394222988424863E-3</v>
      </c>
      <c r="CO27" s="131">
        <v>0</v>
      </c>
      <c r="CP27" s="127">
        <v>452931</v>
      </c>
    </row>
    <row r="28" spans="2:94" ht="5.25" customHeight="1" x14ac:dyDescent="0.2">
      <c r="B28" s="8"/>
      <c r="C28" s="22"/>
      <c r="D28" s="23"/>
      <c r="E28" s="23"/>
      <c r="F28" s="23"/>
      <c r="G28" s="23"/>
      <c r="H28" s="23"/>
      <c r="I28" s="24"/>
      <c r="J28" s="23"/>
      <c r="K28" s="22"/>
      <c r="L28" s="23"/>
      <c r="M28" s="23"/>
      <c r="N28" s="23"/>
      <c r="O28" s="23"/>
      <c r="P28" s="23"/>
      <c r="Q28" s="24"/>
      <c r="R28" s="23"/>
      <c r="S28" s="22"/>
      <c r="T28" s="23"/>
      <c r="U28" s="23"/>
      <c r="V28" s="23"/>
      <c r="W28" s="23"/>
      <c r="X28" s="23"/>
      <c r="Y28" s="24"/>
      <c r="Z28" s="23"/>
      <c r="AA28" s="22"/>
      <c r="AB28" s="23"/>
      <c r="AC28" s="23"/>
      <c r="AD28" s="23"/>
      <c r="AE28" s="23"/>
      <c r="AF28" s="23"/>
      <c r="AG28" s="24"/>
      <c r="AH28" s="23"/>
      <c r="AI28" s="22"/>
      <c r="AJ28" s="23"/>
      <c r="AK28" s="23"/>
      <c r="AL28" s="23"/>
      <c r="AM28" s="23"/>
      <c r="AN28" s="23"/>
      <c r="AO28" s="24"/>
      <c r="AP28" s="23"/>
      <c r="AQ28" s="22"/>
      <c r="AR28" s="23"/>
      <c r="AS28" s="23"/>
      <c r="AT28" s="23"/>
      <c r="AU28" s="23"/>
      <c r="AV28" s="23"/>
      <c r="AW28" s="24"/>
      <c r="AX28" s="23"/>
      <c r="AY28" s="22"/>
      <c r="AZ28" s="23"/>
      <c r="BA28" s="23"/>
      <c r="BB28" s="23"/>
      <c r="BC28" s="23"/>
      <c r="BD28" s="23"/>
      <c r="BE28" s="24"/>
      <c r="BF28" s="23"/>
      <c r="BG28" s="22"/>
      <c r="BH28" s="23"/>
      <c r="BI28" s="23"/>
      <c r="BJ28" s="23"/>
      <c r="BK28" s="23"/>
      <c r="BL28" s="23"/>
      <c r="BM28" s="24"/>
      <c r="BN28" s="23"/>
      <c r="BO28" s="22"/>
      <c r="BP28" s="23"/>
      <c r="BQ28" s="23"/>
      <c r="BR28" s="23"/>
      <c r="BS28" s="23"/>
      <c r="BT28" s="23"/>
      <c r="BU28" s="24"/>
      <c r="BV28" s="23"/>
      <c r="BW28" s="22"/>
      <c r="BX28" s="23"/>
      <c r="BY28" s="23"/>
      <c r="BZ28" s="23"/>
      <c r="CA28" s="23"/>
      <c r="CB28" s="23"/>
      <c r="CC28" s="24"/>
      <c r="CD28" s="23"/>
      <c r="CE28" s="22"/>
      <c r="CF28" s="23"/>
      <c r="CG28" s="23"/>
      <c r="CH28" s="23"/>
      <c r="CI28" s="23"/>
      <c r="CJ28" s="23"/>
      <c r="CK28" s="24"/>
      <c r="CM28" s="22"/>
      <c r="CN28" s="114"/>
      <c r="CO28" s="126"/>
      <c r="CP28" s="124"/>
    </row>
    <row r="29" spans="2:94" x14ac:dyDescent="0.2">
      <c r="B29" s="8" t="s">
        <v>8</v>
      </c>
      <c r="C29" s="22">
        <v>5000</v>
      </c>
      <c r="D29" s="23">
        <v>11037.02</v>
      </c>
      <c r="E29" s="23">
        <v>6037.02</v>
      </c>
      <c r="F29" s="23">
        <v>2500</v>
      </c>
      <c r="G29" s="23">
        <v>6000</v>
      </c>
      <c r="H29" s="23">
        <v>1000</v>
      </c>
      <c r="I29" s="24">
        <v>3500</v>
      </c>
      <c r="J29" s="23"/>
      <c r="K29" s="22">
        <v>0</v>
      </c>
      <c r="L29" s="23">
        <v>0</v>
      </c>
      <c r="M29" s="23">
        <v>0</v>
      </c>
      <c r="N29" s="23">
        <v>0</v>
      </c>
      <c r="O29" s="23">
        <v>9100</v>
      </c>
      <c r="P29" s="23">
        <v>9100</v>
      </c>
      <c r="Q29" s="24">
        <v>9100</v>
      </c>
      <c r="R29" s="23"/>
      <c r="S29" s="22">
        <v>53463</v>
      </c>
      <c r="T29" s="23">
        <v>62198.69</v>
      </c>
      <c r="U29" s="23">
        <v>8735.6900000000023</v>
      </c>
      <c r="V29" s="23">
        <v>83300</v>
      </c>
      <c r="W29" s="23">
        <v>57000</v>
      </c>
      <c r="X29" s="23">
        <v>3537</v>
      </c>
      <c r="Y29" s="24">
        <v>-26300</v>
      </c>
      <c r="Z29" s="23"/>
      <c r="AA29" s="22">
        <v>45950</v>
      </c>
      <c r="AB29" s="23">
        <v>54183.569999999992</v>
      </c>
      <c r="AC29" s="23">
        <v>8233.5699999999924</v>
      </c>
      <c r="AD29" s="23">
        <v>50000</v>
      </c>
      <c r="AE29" s="23">
        <v>34500</v>
      </c>
      <c r="AF29" s="23">
        <v>-19683.569999999992</v>
      </c>
      <c r="AG29" s="24">
        <v>-15500</v>
      </c>
      <c r="AH29" s="23"/>
      <c r="AI29" s="22">
        <v>13690</v>
      </c>
      <c r="AJ29" s="23">
        <v>22100.62</v>
      </c>
      <c r="AK29" s="23">
        <v>8410.619999999999</v>
      </c>
      <c r="AL29" s="23">
        <v>35500</v>
      </c>
      <c r="AM29" s="23">
        <v>18000</v>
      </c>
      <c r="AN29" s="23">
        <v>4310</v>
      </c>
      <c r="AO29" s="24">
        <v>-17500</v>
      </c>
      <c r="AP29" s="23"/>
      <c r="AQ29" s="22">
        <v>17440</v>
      </c>
      <c r="AR29" s="23">
        <v>18191.14</v>
      </c>
      <c r="AS29" s="23">
        <v>751.13999999999942</v>
      </c>
      <c r="AT29" s="23">
        <v>14900</v>
      </c>
      <c r="AU29" s="23">
        <v>14500</v>
      </c>
      <c r="AV29" s="23">
        <v>-2940</v>
      </c>
      <c r="AW29" s="24">
        <v>-400</v>
      </c>
      <c r="AX29" s="23"/>
      <c r="AY29" s="22">
        <v>13500</v>
      </c>
      <c r="AZ29" s="23">
        <v>43848.07</v>
      </c>
      <c r="BA29" s="23">
        <v>30348.07</v>
      </c>
      <c r="BB29" s="23">
        <v>13200</v>
      </c>
      <c r="BC29" s="23">
        <v>15000</v>
      </c>
      <c r="BD29" s="23">
        <v>1500</v>
      </c>
      <c r="BE29" s="24">
        <v>1800</v>
      </c>
      <c r="BF29" s="23"/>
      <c r="BG29" s="22">
        <v>45046</v>
      </c>
      <c r="BH29" s="23">
        <v>85392.72</v>
      </c>
      <c r="BI29" s="23">
        <v>40346.720000000001</v>
      </c>
      <c r="BJ29" s="23">
        <v>58850</v>
      </c>
      <c r="BK29" s="23">
        <v>79700</v>
      </c>
      <c r="BL29" s="23">
        <v>34654</v>
      </c>
      <c r="BM29" s="24">
        <v>20850</v>
      </c>
      <c r="BN29" s="23"/>
      <c r="BO29" s="22">
        <v>69500</v>
      </c>
      <c r="BP29" s="23">
        <v>134748.85</v>
      </c>
      <c r="BQ29" s="23">
        <v>65248.850000000006</v>
      </c>
      <c r="BR29" s="23">
        <v>71000</v>
      </c>
      <c r="BS29" s="23">
        <v>80000</v>
      </c>
      <c r="BT29" s="23">
        <v>10500</v>
      </c>
      <c r="BU29" s="24">
        <v>9000</v>
      </c>
      <c r="BV29" s="23"/>
      <c r="BW29" s="22">
        <v>43000</v>
      </c>
      <c r="BX29" s="23">
        <v>73591.88</v>
      </c>
      <c r="BY29" s="23">
        <v>30591.880000000005</v>
      </c>
      <c r="BZ29" s="23">
        <v>66500</v>
      </c>
      <c r="CA29" s="23">
        <v>58500</v>
      </c>
      <c r="CB29" s="23">
        <v>15500</v>
      </c>
      <c r="CC29" s="24">
        <v>-8000</v>
      </c>
      <c r="CD29" s="23"/>
      <c r="CE29" s="22">
        <v>306589</v>
      </c>
      <c r="CF29" s="23">
        <v>505292.55999999994</v>
      </c>
      <c r="CG29" s="23">
        <v>198703.55999999994</v>
      </c>
      <c r="CH29" s="23">
        <v>395750</v>
      </c>
      <c r="CI29" s="23">
        <v>372300</v>
      </c>
      <c r="CJ29" s="23">
        <v>65711</v>
      </c>
      <c r="CK29" s="24">
        <v>-23450</v>
      </c>
      <c r="CM29" s="109">
        <v>0.21432928122013509</v>
      </c>
      <c r="CN29" s="113">
        <v>-5.9254579911560329E-2</v>
      </c>
      <c r="CO29" s="126"/>
      <c r="CP29" s="124">
        <v>372300</v>
      </c>
    </row>
    <row r="30" spans="2:94" x14ac:dyDescent="0.2">
      <c r="B30" s="8" t="s">
        <v>145</v>
      </c>
      <c r="C30" s="22"/>
      <c r="D30" s="23"/>
      <c r="E30" s="23">
        <v>0</v>
      </c>
      <c r="F30" s="23">
        <v>0</v>
      </c>
      <c r="G30" s="23">
        <v>0</v>
      </c>
      <c r="H30" s="23">
        <v>0</v>
      </c>
      <c r="I30" s="24">
        <v>0</v>
      </c>
      <c r="J30" s="23"/>
      <c r="K30" s="22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4">
        <v>0</v>
      </c>
      <c r="R30" s="23"/>
      <c r="S30" s="22"/>
      <c r="T30" s="23"/>
      <c r="U30" s="23">
        <v>0</v>
      </c>
      <c r="V30" s="23">
        <v>0</v>
      </c>
      <c r="W30" s="23"/>
      <c r="X30" s="23"/>
      <c r="Y30" s="24"/>
      <c r="Z30" s="23"/>
      <c r="AA30" s="22"/>
      <c r="AB30" s="23"/>
      <c r="AC30" s="23"/>
      <c r="AD30" s="23"/>
      <c r="AE30" s="23"/>
      <c r="AF30" s="23"/>
      <c r="AG30" s="24"/>
      <c r="AH30" s="23"/>
      <c r="AI30" s="22"/>
      <c r="AJ30" s="23"/>
      <c r="AK30" s="23">
        <v>0</v>
      </c>
      <c r="AL30" s="23">
        <v>0</v>
      </c>
      <c r="AM30" s="23">
        <v>0</v>
      </c>
      <c r="AN30" s="23"/>
      <c r="AO30" s="24"/>
      <c r="AP30" s="23"/>
      <c r="AQ30" s="22"/>
      <c r="AR30" s="23"/>
      <c r="AS30" s="23">
        <v>0</v>
      </c>
      <c r="AT30" s="23"/>
      <c r="AU30" s="23">
        <v>0</v>
      </c>
      <c r="AV30" s="23"/>
      <c r="AW30" s="24"/>
      <c r="AX30" s="23"/>
      <c r="AY30" s="22"/>
      <c r="AZ30" s="23"/>
      <c r="BA30" s="23">
        <v>0</v>
      </c>
      <c r="BB30" s="23">
        <v>0</v>
      </c>
      <c r="BC30" s="23">
        <v>0</v>
      </c>
      <c r="BD30" s="23"/>
      <c r="BE30" s="24"/>
      <c r="BF30" s="23"/>
      <c r="BG30" s="22"/>
      <c r="BH30" s="23"/>
      <c r="BI30" s="23">
        <v>0</v>
      </c>
      <c r="BJ30" s="23"/>
      <c r="BK30" s="23">
        <v>0</v>
      </c>
      <c r="BL30" s="23"/>
      <c r="BM30" s="24"/>
      <c r="BN30" s="23"/>
      <c r="BO30" s="22"/>
      <c r="BP30" s="23"/>
      <c r="BQ30" s="23">
        <v>0</v>
      </c>
      <c r="BR30" s="23"/>
      <c r="BS30" s="23">
        <v>0</v>
      </c>
      <c r="BT30" s="23"/>
      <c r="BU30" s="24"/>
      <c r="BV30" s="23"/>
      <c r="BW30" s="22"/>
      <c r="BX30" s="23"/>
      <c r="BY30" s="23">
        <v>0</v>
      </c>
      <c r="BZ30" s="23">
        <v>0</v>
      </c>
      <c r="CA30" s="23">
        <v>83628</v>
      </c>
      <c r="CB30" s="23">
        <v>83628</v>
      </c>
      <c r="CC30" s="24">
        <v>83628</v>
      </c>
      <c r="CD30" s="23"/>
      <c r="CE30" s="22">
        <v>0</v>
      </c>
      <c r="CF30" s="23">
        <v>0</v>
      </c>
      <c r="CG30" s="23">
        <v>0</v>
      </c>
      <c r="CH30" s="23">
        <v>0</v>
      </c>
      <c r="CI30" s="23">
        <v>83628</v>
      </c>
      <c r="CJ30" s="23">
        <v>83628</v>
      </c>
      <c r="CK30" s="24">
        <v>83628</v>
      </c>
      <c r="CM30" s="111">
        <v>0</v>
      </c>
      <c r="CN30" s="114">
        <v>0</v>
      </c>
      <c r="CO30" s="126"/>
      <c r="CP30" s="124">
        <v>83628</v>
      </c>
    </row>
    <row r="31" spans="2:94" x14ac:dyDescent="0.2">
      <c r="B31" s="8" t="s">
        <v>9</v>
      </c>
      <c r="C31" s="22">
        <v>1000</v>
      </c>
      <c r="D31" s="23">
        <v>301</v>
      </c>
      <c r="E31" s="23">
        <v>-699</v>
      </c>
      <c r="F31" s="23">
        <v>600</v>
      </c>
      <c r="G31" s="23">
        <v>600</v>
      </c>
      <c r="H31" s="23">
        <v>-400</v>
      </c>
      <c r="I31" s="24">
        <v>0</v>
      </c>
      <c r="J31" s="23"/>
      <c r="K31" s="22">
        <v>0</v>
      </c>
      <c r="L31" s="23">
        <v>0</v>
      </c>
      <c r="M31" s="23">
        <v>0</v>
      </c>
      <c r="N31" s="23">
        <v>0</v>
      </c>
      <c r="O31" s="23">
        <v>5000</v>
      </c>
      <c r="P31" s="23">
        <v>5000</v>
      </c>
      <c r="Q31" s="24">
        <v>5000</v>
      </c>
      <c r="R31" s="23"/>
      <c r="S31" s="22">
        <v>350</v>
      </c>
      <c r="T31" s="23"/>
      <c r="U31" s="23">
        <v>-350</v>
      </c>
      <c r="V31" s="23">
        <v>1000</v>
      </c>
      <c r="W31" s="23">
        <v>1000</v>
      </c>
      <c r="X31" s="23">
        <v>650</v>
      </c>
      <c r="Y31" s="24">
        <v>0</v>
      </c>
      <c r="Z31" s="23"/>
      <c r="AA31" s="22">
        <v>2800</v>
      </c>
      <c r="AB31" s="23">
        <v>1279.92</v>
      </c>
      <c r="AC31" s="23">
        <v>-1520.08</v>
      </c>
      <c r="AD31" s="23">
        <v>5000</v>
      </c>
      <c r="AE31" s="23">
        <v>1500</v>
      </c>
      <c r="AF31" s="23">
        <v>220.07999999999993</v>
      </c>
      <c r="AG31" s="24">
        <v>-3500</v>
      </c>
      <c r="AH31" s="23"/>
      <c r="AI31" s="22">
        <v>1700</v>
      </c>
      <c r="AJ31" s="23"/>
      <c r="AK31" s="23">
        <v>-1700</v>
      </c>
      <c r="AL31" s="23">
        <v>1500</v>
      </c>
      <c r="AM31" s="23">
        <v>1000</v>
      </c>
      <c r="AN31" s="23">
        <v>-700</v>
      </c>
      <c r="AO31" s="24">
        <v>-500</v>
      </c>
      <c r="AP31" s="23"/>
      <c r="AQ31" s="22"/>
      <c r="AR31" s="23"/>
      <c r="AS31" s="23">
        <v>0</v>
      </c>
      <c r="AT31" s="23">
        <v>0</v>
      </c>
      <c r="AU31" s="23">
        <v>0</v>
      </c>
      <c r="AV31" s="23">
        <v>0</v>
      </c>
      <c r="AW31" s="24">
        <v>0</v>
      </c>
      <c r="AX31" s="23"/>
      <c r="AY31" s="22"/>
      <c r="AZ31" s="23"/>
      <c r="BA31" s="23">
        <v>0</v>
      </c>
      <c r="BB31" s="23">
        <v>2900</v>
      </c>
      <c r="BC31" s="23">
        <v>2000</v>
      </c>
      <c r="BD31" s="23">
        <v>2000</v>
      </c>
      <c r="BE31" s="24">
        <v>-900</v>
      </c>
      <c r="BF31" s="23"/>
      <c r="BG31" s="22">
        <v>2050</v>
      </c>
      <c r="BH31" s="23">
        <v>936.4</v>
      </c>
      <c r="BI31" s="23">
        <v>-1113.5999999999999</v>
      </c>
      <c r="BJ31" s="23">
        <v>6675</v>
      </c>
      <c r="BK31" s="23">
        <v>6500</v>
      </c>
      <c r="BL31" s="23">
        <v>4450</v>
      </c>
      <c r="BM31" s="24">
        <v>-175</v>
      </c>
      <c r="BN31" s="23"/>
      <c r="BO31" s="22">
        <v>3600</v>
      </c>
      <c r="BP31" s="23">
        <v>4201.95</v>
      </c>
      <c r="BQ31" s="23">
        <v>601.94999999999982</v>
      </c>
      <c r="BR31" s="23">
        <v>5000</v>
      </c>
      <c r="BS31" s="23">
        <v>5000</v>
      </c>
      <c r="BT31" s="23">
        <v>1400</v>
      </c>
      <c r="BU31" s="24">
        <v>0</v>
      </c>
      <c r="BV31" s="23"/>
      <c r="BW31" s="22">
        <v>11300</v>
      </c>
      <c r="BX31" s="23">
        <v>13896.25</v>
      </c>
      <c r="BY31" s="23">
        <v>2596.25</v>
      </c>
      <c r="BZ31" s="23">
        <v>9300</v>
      </c>
      <c r="CA31" s="23">
        <v>9500</v>
      </c>
      <c r="CB31" s="23">
        <v>-1800</v>
      </c>
      <c r="CC31" s="24">
        <v>200</v>
      </c>
      <c r="CD31" s="23"/>
      <c r="CE31" s="22">
        <v>22800</v>
      </c>
      <c r="CF31" s="23">
        <v>20615.52</v>
      </c>
      <c r="CG31" s="23">
        <v>-2184.4799999999996</v>
      </c>
      <c r="CH31" s="23">
        <v>31975</v>
      </c>
      <c r="CI31" s="23">
        <v>32100</v>
      </c>
      <c r="CJ31" s="23">
        <v>9300</v>
      </c>
      <c r="CK31" s="24">
        <v>125</v>
      </c>
      <c r="CM31" s="111">
        <v>0.40789473684210525</v>
      </c>
      <c r="CN31" s="118">
        <v>3.9093041438623922E-3</v>
      </c>
      <c r="CO31" s="126">
        <v>0</v>
      </c>
      <c r="CP31" s="124">
        <v>32100</v>
      </c>
    </row>
    <row r="32" spans="2:94" x14ac:dyDescent="0.2">
      <c r="B32" s="8" t="s">
        <v>36</v>
      </c>
      <c r="C32" s="22"/>
      <c r="D32" s="23"/>
      <c r="E32" s="23">
        <v>0</v>
      </c>
      <c r="F32" s="23">
        <v>0</v>
      </c>
      <c r="G32" s="23">
        <v>0</v>
      </c>
      <c r="H32" s="23">
        <v>0</v>
      </c>
      <c r="I32" s="24">
        <v>0</v>
      </c>
      <c r="J32" s="23"/>
      <c r="K32" s="22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4">
        <v>0</v>
      </c>
      <c r="R32" s="23"/>
      <c r="S32" s="22">
        <v>13150</v>
      </c>
      <c r="T32" s="23">
        <v>3058.1</v>
      </c>
      <c r="U32" s="23">
        <v>-10091.9</v>
      </c>
      <c r="V32" s="23">
        <v>15000</v>
      </c>
      <c r="W32" s="23">
        <v>16000</v>
      </c>
      <c r="X32" s="23">
        <v>2850</v>
      </c>
      <c r="Y32" s="24">
        <v>1000</v>
      </c>
      <c r="Z32" s="23"/>
      <c r="AA32" s="22">
        <v>5000</v>
      </c>
      <c r="AB32" s="23">
        <v>7184</v>
      </c>
      <c r="AC32" s="23">
        <v>2184</v>
      </c>
      <c r="AD32" s="23">
        <v>15000</v>
      </c>
      <c r="AE32" s="23">
        <v>15000</v>
      </c>
      <c r="AF32" s="23">
        <v>7816</v>
      </c>
      <c r="AG32" s="24">
        <v>0</v>
      </c>
      <c r="AH32" s="23"/>
      <c r="AI32" s="22">
        <v>5500</v>
      </c>
      <c r="AJ32" s="23">
        <v>4492.5</v>
      </c>
      <c r="AK32" s="23">
        <v>-1007.5</v>
      </c>
      <c r="AL32" s="23">
        <v>8000</v>
      </c>
      <c r="AM32" s="23">
        <v>10000</v>
      </c>
      <c r="AN32" s="23">
        <v>4500</v>
      </c>
      <c r="AO32" s="24">
        <v>2000</v>
      </c>
      <c r="AP32" s="23"/>
      <c r="AQ32" s="22">
        <v>12485</v>
      </c>
      <c r="AR32" s="23">
        <v>5446.37</v>
      </c>
      <c r="AS32" s="23">
        <v>-7038.63</v>
      </c>
      <c r="AT32" s="23">
        <v>10000</v>
      </c>
      <c r="AU32" s="23">
        <v>8000</v>
      </c>
      <c r="AV32" s="23">
        <v>-4485</v>
      </c>
      <c r="AW32" s="24">
        <v>-2000</v>
      </c>
      <c r="AX32" s="23"/>
      <c r="AY32" s="22"/>
      <c r="AZ32" s="23"/>
      <c r="BA32" s="23">
        <v>0</v>
      </c>
      <c r="BB32" s="23">
        <v>1150</v>
      </c>
      <c r="BC32" s="23">
        <v>900</v>
      </c>
      <c r="BD32" s="23">
        <v>900</v>
      </c>
      <c r="BE32" s="24">
        <v>-250</v>
      </c>
      <c r="BF32" s="23"/>
      <c r="BG32" s="22">
        <v>24151</v>
      </c>
      <c r="BH32" s="23">
        <v>28893.35</v>
      </c>
      <c r="BI32" s="23">
        <v>4742.3499999999985</v>
      </c>
      <c r="BJ32" s="23">
        <v>51500</v>
      </c>
      <c r="BK32" s="23">
        <v>51000</v>
      </c>
      <c r="BL32" s="23">
        <v>26849</v>
      </c>
      <c r="BM32" s="24">
        <v>-500</v>
      </c>
      <c r="BN32" s="23"/>
      <c r="BO32" s="22"/>
      <c r="BP32" s="23"/>
      <c r="BQ32" s="23">
        <v>0</v>
      </c>
      <c r="BR32" s="23">
        <v>0</v>
      </c>
      <c r="BS32" s="23">
        <v>0</v>
      </c>
      <c r="BT32" s="23">
        <v>0</v>
      </c>
      <c r="BU32" s="24">
        <v>0</v>
      </c>
      <c r="BV32" s="23"/>
      <c r="BW32" s="22"/>
      <c r="BX32" s="23"/>
      <c r="BY32" s="23">
        <v>0</v>
      </c>
      <c r="BZ32" s="23">
        <v>0</v>
      </c>
      <c r="CA32" s="23">
        <v>0</v>
      </c>
      <c r="CB32" s="23">
        <v>0</v>
      </c>
      <c r="CC32" s="24">
        <v>0</v>
      </c>
      <c r="CD32" s="23"/>
      <c r="CE32" s="22">
        <v>60286</v>
      </c>
      <c r="CF32" s="23">
        <v>49074.32</v>
      </c>
      <c r="CG32" s="23">
        <v>-11211.68</v>
      </c>
      <c r="CH32" s="23">
        <v>100650</v>
      </c>
      <c r="CI32" s="23">
        <v>100900</v>
      </c>
      <c r="CJ32" s="23">
        <v>40614</v>
      </c>
      <c r="CK32" s="24">
        <v>250</v>
      </c>
      <c r="CM32" s="111">
        <v>0.67368875029028297</v>
      </c>
      <c r="CN32" s="114">
        <v>2.4838549428713363E-3</v>
      </c>
      <c r="CO32" s="126"/>
      <c r="CP32" s="124">
        <v>100900</v>
      </c>
    </row>
    <row r="33" spans="2:95" x14ac:dyDescent="0.2">
      <c r="B33" s="8" t="s">
        <v>71</v>
      </c>
      <c r="C33" s="22"/>
      <c r="D33" s="23"/>
      <c r="E33" s="23">
        <v>0</v>
      </c>
      <c r="F33" s="23">
        <v>0</v>
      </c>
      <c r="G33" s="23">
        <v>0</v>
      </c>
      <c r="H33" s="23">
        <v>0</v>
      </c>
      <c r="I33" s="24">
        <v>0</v>
      </c>
      <c r="J33" s="23"/>
      <c r="K33" s="22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4">
        <v>0</v>
      </c>
      <c r="R33" s="23"/>
      <c r="S33" s="22"/>
      <c r="T33" s="23"/>
      <c r="U33" s="23">
        <v>0</v>
      </c>
      <c r="V33" s="23">
        <v>0</v>
      </c>
      <c r="W33" s="23">
        <v>0</v>
      </c>
      <c r="X33" s="23">
        <v>0</v>
      </c>
      <c r="Y33" s="24">
        <v>0</v>
      </c>
      <c r="Z33" s="23"/>
      <c r="AA33" s="22"/>
      <c r="AB33" s="23"/>
      <c r="AC33" s="23">
        <v>0</v>
      </c>
      <c r="AD33" s="23"/>
      <c r="AE33" s="23">
        <v>0</v>
      </c>
      <c r="AF33" s="23">
        <v>0</v>
      </c>
      <c r="AG33" s="24">
        <v>0</v>
      </c>
      <c r="AH33" s="23"/>
      <c r="AI33" s="22"/>
      <c r="AJ33" s="23"/>
      <c r="AK33" s="23">
        <v>0</v>
      </c>
      <c r="AL33" s="23">
        <v>0</v>
      </c>
      <c r="AM33" s="23">
        <v>0</v>
      </c>
      <c r="AN33" s="23">
        <v>0</v>
      </c>
      <c r="AO33" s="24">
        <v>0</v>
      </c>
      <c r="AP33" s="23"/>
      <c r="AQ33" s="22"/>
      <c r="AR33" s="23"/>
      <c r="AS33" s="23">
        <v>0</v>
      </c>
      <c r="AT33" s="23">
        <v>0</v>
      </c>
      <c r="AU33" s="23">
        <v>0</v>
      </c>
      <c r="AV33" s="23">
        <v>0</v>
      </c>
      <c r="AW33" s="24">
        <v>0</v>
      </c>
      <c r="AX33" s="23"/>
      <c r="AY33" s="22"/>
      <c r="AZ33" s="23"/>
      <c r="BA33" s="23">
        <v>0</v>
      </c>
      <c r="BB33" s="23">
        <v>0</v>
      </c>
      <c r="BC33" s="23">
        <v>0</v>
      </c>
      <c r="BD33" s="23">
        <v>0</v>
      </c>
      <c r="BE33" s="24">
        <v>0</v>
      </c>
      <c r="BF33" s="23"/>
      <c r="BG33" s="22">
        <v>5000</v>
      </c>
      <c r="BH33" s="23">
        <v>485.59</v>
      </c>
      <c r="BI33" s="23">
        <v>-4514.41</v>
      </c>
      <c r="BJ33" s="23">
        <v>5000</v>
      </c>
      <c r="BK33" s="23">
        <v>10600</v>
      </c>
      <c r="BL33" s="23">
        <v>5600</v>
      </c>
      <c r="BM33" s="24">
        <v>5600</v>
      </c>
      <c r="BN33" s="23"/>
      <c r="BO33" s="22"/>
      <c r="BP33" s="23"/>
      <c r="BQ33" s="23">
        <v>0</v>
      </c>
      <c r="BR33" s="23">
        <v>0</v>
      </c>
      <c r="BS33" s="23">
        <v>0</v>
      </c>
      <c r="BT33" s="23">
        <v>0</v>
      </c>
      <c r="BU33" s="24">
        <v>0</v>
      </c>
      <c r="BV33" s="23"/>
      <c r="BW33" s="22">
        <v>3000</v>
      </c>
      <c r="BX33" s="23">
        <v>2998.05</v>
      </c>
      <c r="BY33" s="23">
        <v>-1.9499999999998181</v>
      </c>
      <c r="BZ33" s="23">
        <v>3000</v>
      </c>
      <c r="CA33" s="23">
        <v>20000</v>
      </c>
      <c r="CB33" s="23">
        <v>17000</v>
      </c>
      <c r="CC33" s="24">
        <v>17000</v>
      </c>
      <c r="CD33" s="23"/>
      <c r="CE33" s="22">
        <v>8000</v>
      </c>
      <c r="CF33" s="23">
        <v>3483.6400000000003</v>
      </c>
      <c r="CG33" s="23">
        <v>-4516.3599999999997</v>
      </c>
      <c r="CH33" s="23">
        <v>8000</v>
      </c>
      <c r="CI33" s="23">
        <v>30600</v>
      </c>
      <c r="CJ33" s="23">
        <v>22600</v>
      </c>
      <c r="CK33" s="24">
        <v>22600</v>
      </c>
      <c r="CM33" s="111">
        <v>2.8250000000000002</v>
      </c>
      <c r="CN33" s="118">
        <v>2.8250000000000002</v>
      </c>
      <c r="CO33" s="126">
        <v>0</v>
      </c>
      <c r="CP33" s="124">
        <v>30600</v>
      </c>
    </row>
    <row r="34" spans="2:95" x14ac:dyDescent="0.2">
      <c r="B34" s="8" t="s">
        <v>10</v>
      </c>
      <c r="C34" s="22"/>
      <c r="D34" s="23"/>
      <c r="E34" s="23">
        <v>0</v>
      </c>
      <c r="F34" s="23">
        <v>0</v>
      </c>
      <c r="G34" s="23">
        <v>0</v>
      </c>
      <c r="H34" s="23">
        <v>0</v>
      </c>
      <c r="I34" s="24">
        <v>0</v>
      </c>
      <c r="J34" s="23"/>
      <c r="K34" s="22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4">
        <v>0</v>
      </c>
      <c r="R34" s="23"/>
      <c r="S34" s="22"/>
      <c r="T34" s="23">
        <v>170.5</v>
      </c>
      <c r="U34" s="23">
        <v>170.5</v>
      </c>
      <c r="V34" s="23">
        <v>600</v>
      </c>
      <c r="W34" s="23">
        <v>0</v>
      </c>
      <c r="X34" s="23">
        <v>0</v>
      </c>
      <c r="Y34" s="24">
        <v>-600</v>
      </c>
      <c r="Z34" s="23"/>
      <c r="AA34" s="22"/>
      <c r="AB34" s="23">
        <v>950</v>
      </c>
      <c r="AC34" s="23">
        <v>950</v>
      </c>
      <c r="AD34" s="23"/>
      <c r="AE34" s="23">
        <v>0</v>
      </c>
      <c r="AF34" s="23">
        <v>-950</v>
      </c>
      <c r="AG34" s="24">
        <v>0</v>
      </c>
      <c r="AH34" s="23"/>
      <c r="AI34" s="22"/>
      <c r="AJ34" s="23">
        <v>190.25</v>
      </c>
      <c r="AK34" s="23">
        <v>190.25</v>
      </c>
      <c r="AL34" s="23">
        <v>0</v>
      </c>
      <c r="AM34" s="23">
        <v>0</v>
      </c>
      <c r="AN34" s="23">
        <v>0</v>
      </c>
      <c r="AO34" s="24">
        <v>0</v>
      </c>
      <c r="AP34" s="23"/>
      <c r="AQ34" s="22"/>
      <c r="AR34" s="23">
        <v>606.34</v>
      </c>
      <c r="AS34" s="23">
        <v>606.34</v>
      </c>
      <c r="AT34" s="23">
        <v>0</v>
      </c>
      <c r="AU34" s="23">
        <v>0</v>
      </c>
      <c r="AV34" s="23">
        <v>0</v>
      </c>
      <c r="AW34" s="24">
        <v>0</v>
      </c>
      <c r="AX34" s="23"/>
      <c r="AY34" s="22">
        <v>306960</v>
      </c>
      <c r="AZ34" s="23">
        <v>265551.38</v>
      </c>
      <c r="BA34" s="23">
        <v>-41408.619999999995</v>
      </c>
      <c r="BB34" s="23">
        <v>306960</v>
      </c>
      <c r="BC34" s="23">
        <v>350000</v>
      </c>
      <c r="BD34" s="23">
        <v>43040</v>
      </c>
      <c r="BE34" s="24">
        <v>43040</v>
      </c>
      <c r="BF34" s="23"/>
      <c r="BG34" s="22"/>
      <c r="BH34" s="23"/>
      <c r="BI34" s="23">
        <v>0</v>
      </c>
      <c r="BJ34" s="23">
        <v>500</v>
      </c>
      <c r="BK34" s="23">
        <v>2500</v>
      </c>
      <c r="BL34" s="23">
        <v>2500</v>
      </c>
      <c r="BM34" s="24">
        <v>2000</v>
      </c>
      <c r="BN34" s="23"/>
      <c r="BO34" s="22">
        <v>4000</v>
      </c>
      <c r="BP34" s="23">
        <v>2260.64</v>
      </c>
      <c r="BQ34" s="23">
        <v>-1739.3600000000001</v>
      </c>
      <c r="BR34" s="23">
        <v>3500</v>
      </c>
      <c r="BS34" s="23">
        <v>3500</v>
      </c>
      <c r="BT34" s="23">
        <v>-500</v>
      </c>
      <c r="BU34" s="24">
        <v>0</v>
      </c>
      <c r="BV34" s="23"/>
      <c r="BW34" s="22"/>
      <c r="BX34" s="23">
        <v>98</v>
      </c>
      <c r="BY34" s="23">
        <v>98</v>
      </c>
      <c r="BZ34" s="23">
        <v>0</v>
      </c>
      <c r="CA34" s="23">
        <v>0</v>
      </c>
      <c r="CB34" s="23">
        <v>0</v>
      </c>
      <c r="CC34" s="24">
        <v>0</v>
      </c>
      <c r="CD34" s="23"/>
      <c r="CE34" s="22">
        <v>310960</v>
      </c>
      <c r="CF34" s="23">
        <v>269827.11000000004</v>
      </c>
      <c r="CG34" s="23">
        <v>-41132.889999999956</v>
      </c>
      <c r="CH34" s="23">
        <v>311560</v>
      </c>
      <c r="CI34" s="23">
        <v>356000</v>
      </c>
      <c r="CJ34" s="23">
        <v>45040</v>
      </c>
      <c r="CK34" s="24">
        <v>44440</v>
      </c>
      <c r="CM34" s="111">
        <v>0.14484178029328532</v>
      </c>
      <c r="CN34" s="114">
        <v>0.14263705225317755</v>
      </c>
      <c r="CO34" s="126"/>
      <c r="CP34" s="124">
        <v>356000</v>
      </c>
    </row>
    <row r="35" spans="2:95" x14ac:dyDescent="0.2">
      <c r="B35" s="8" t="s">
        <v>11</v>
      </c>
      <c r="C35" s="22"/>
      <c r="D35" s="23"/>
      <c r="E35" s="23">
        <v>0</v>
      </c>
      <c r="F35" s="23">
        <v>0</v>
      </c>
      <c r="G35" s="23">
        <v>0</v>
      </c>
      <c r="H35" s="23">
        <v>0</v>
      </c>
      <c r="I35" s="24">
        <v>0</v>
      </c>
      <c r="J35" s="23"/>
      <c r="K35" s="22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4">
        <v>0</v>
      </c>
      <c r="R35" s="23"/>
      <c r="S35" s="22">
        <v>200</v>
      </c>
      <c r="T35" s="23">
        <v>150</v>
      </c>
      <c r="U35" s="23">
        <v>-50</v>
      </c>
      <c r="V35" s="23">
        <v>0</v>
      </c>
      <c r="W35" s="23">
        <v>0</v>
      </c>
      <c r="X35" s="23">
        <v>-200</v>
      </c>
      <c r="Y35" s="24">
        <v>0</v>
      </c>
      <c r="Z35" s="23"/>
      <c r="AA35" s="22"/>
      <c r="AB35" s="23"/>
      <c r="AC35" s="23">
        <v>0</v>
      </c>
      <c r="AD35" s="23"/>
      <c r="AE35" s="23">
        <v>0</v>
      </c>
      <c r="AF35" s="23">
        <v>0</v>
      </c>
      <c r="AG35" s="24">
        <v>0</v>
      </c>
      <c r="AH35" s="23"/>
      <c r="AI35" s="22"/>
      <c r="AJ35" s="23"/>
      <c r="AK35" s="23">
        <v>0</v>
      </c>
      <c r="AL35" s="23">
        <v>0</v>
      </c>
      <c r="AM35" s="23">
        <v>0</v>
      </c>
      <c r="AN35" s="23">
        <v>0</v>
      </c>
      <c r="AO35" s="24">
        <v>0</v>
      </c>
      <c r="AP35" s="23"/>
      <c r="AQ35" s="22"/>
      <c r="AR35" s="23"/>
      <c r="AS35" s="23">
        <v>0</v>
      </c>
      <c r="AT35" s="23">
        <v>0</v>
      </c>
      <c r="AU35" s="23">
        <v>0</v>
      </c>
      <c r="AV35" s="23">
        <v>0</v>
      </c>
      <c r="AW35" s="24">
        <v>0</v>
      </c>
      <c r="AX35" s="23"/>
      <c r="AY35" s="22">
        <v>1000</v>
      </c>
      <c r="AZ35" s="23"/>
      <c r="BA35" s="23">
        <v>-1000</v>
      </c>
      <c r="BB35" s="23">
        <v>0</v>
      </c>
      <c r="BC35" s="23">
        <v>0</v>
      </c>
      <c r="BD35" s="23">
        <v>-1000</v>
      </c>
      <c r="BE35" s="24">
        <v>0</v>
      </c>
      <c r="BF35" s="23"/>
      <c r="BG35" s="22"/>
      <c r="BH35" s="23"/>
      <c r="BI35" s="23">
        <v>0</v>
      </c>
      <c r="BJ35" s="23">
        <v>0</v>
      </c>
      <c r="BK35" s="23">
        <v>0</v>
      </c>
      <c r="BL35" s="23">
        <v>0</v>
      </c>
      <c r="BM35" s="24">
        <v>0</v>
      </c>
      <c r="BN35" s="23"/>
      <c r="BO35" s="22">
        <v>2000</v>
      </c>
      <c r="BP35" s="23">
        <v>2000</v>
      </c>
      <c r="BQ35" s="23">
        <v>0</v>
      </c>
      <c r="BR35" s="23">
        <v>6000</v>
      </c>
      <c r="BS35" s="23">
        <v>10000</v>
      </c>
      <c r="BT35" s="23">
        <v>8000</v>
      </c>
      <c r="BU35" s="24">
        <v>4000</v>
      </c>
      <c r="BV35" s="23"/>
      <c r="BW35" s="22"/>
      <c r="BX35" s="23"/>
      <c r="BY35" s="23">
        <v>0</v>
      </c>
      <c r="BZ35" s="23">
        <v>0</v>
      </c>
      <c r="CA35" s="23">
        <v>0</v>
      </c>
      <c r="CB35" s="23">
        <v>0</v>
      </c>
      <c r="CC35" s="24">
        <v>0</v>
      </c>
      <c r="CD35" s="23"/>
      <c r="CE35" s="22">
        <v>3200</v>
      </c>
      <c r="CF35" s="23">
        <v>2150</v>
      </c>
      <c r="CG35" s="23">
        <v>-1050</v>
      </c>
      <c r="CH35" s="23">
        <v>6000</v>
      </c>
      <c r="CI35" s="23">
        <v>10000</v>
      </c>
      <c r="CJ35" s="23">
        <v>6800</v>
      </c>
      <c r="CK35" s="24">
        <v>4000</v>
      </c>
      <c r="CM35" s="111">
        <v>2.125</v>
      </c>
      <c r="CN35" s="118">
        <v>0.66666666666666663</v>
      </c>
      <c r="CO35" s="126">
        <v>0</v>
      </c>
      <c r="CP35" s="124">
        <v>10000</v>
      </c>
    </row>
    <row r="36" spans="2:95" x14ac:dyDescent="0.2">
      <c r="B36" s="8" t="s">
        <v>12</v>
      </c>
      <c r="C36" s="22"/>
      <c r="D36" s="23"/>
      <c r="E36" s="23">
        <v>0</v>
      </c>
      <c r="F36" s="23">
        <v>0</v>
      </c>
      <c r="G36" s="23">
        <v>0</v>
      </c>
      <c r="H36" s="23">
        <v>0</v>
      </c>
      <c r="I36" s="24">
        <v>0</v>
      </c>
      <c r="J36" s="23"/>
      <c r="K36" s="22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4">
        <v>0</v>
      </c>
      <c r="R36" s="23"/>
      <c r="S36" s="22"/>
      <c r="T36" s="23"/>
      <c r="U36" s="23">
        <v>0</v>
      </c>
      <c r="V36" s="23">
        <v>0</v>
      </c>
      <c r="W36" s="23">
        <v>0</v>
      </c>
      <c r="X36" s="23">
        <v>0</v>
      </c>
      <c r="Y36" s="24">
        <v>0</v>
      </c>
      <c r="Z36" s="23"/>
      <c r="AA36" s="22">
        <v>500</v>
      </c>
      <c r="AB36" s="23">
        <v>98</v>
      </c>
      <c r="AC36" s="23">
        <v>-402</v>
      </c>
      <c r="AD36" s="23"/>
      <c r="AE36" s="23">
        <v>500</v>
      </c>
      <c r="AF36" s="23">
        <v>402</v>
      </c>
      <c r="AG36" s="24">
        <v>500</v>
      </c>
      <c r="AH36" s="23"/>
      <c r="AI36" s="22">
        <v>50</v>
      </c>
      <c r="AJ36" s="23">
        <v>30</v>
      </c>
      <c r="AK36" s="23">
        <v>-20</v>
      </c>
      <c r="AL36" s="23">
        <v>0</v>
      </c>
      <c r="AM36" s="23">
        <v>500</v>
      </c>
      <c r="AN36" s="23">
        <v>450</v>
      </c>
      <c r="AO36" s="24">
        <v>500</v>
      </c>
      <c r="AP36" s="23"/>
      <c r="AQ36" s="22"/>
      <c r="AR36" s="23">
        <v>55.15</v>
      </c>
      <c r="AS36" s="23">
        <v>55.15</v>
      </c>
      <c r="AT36" s="23">
        <v>0</v>
      </c>
      <c r="AU36" s="23">
        <v>500</v>
      </c>
      <c r="AV36" s="23">
        <v>500</v>
      </c>
      <c r="AW36" s="24">
        <v>500</v>
      </c>
      <c r="AX36" s="23"/>
      <c r="AY36" s="22"/>
      <c r="AZ36" s="23"/>
      <c r="BA36" s="23">
        <v>0</v>
      </c>
      <c r="BB36" s="23">
        <v>0</v>
      </c>
      <c r="BC36" s="23">
        <v>0</v>
      </c>
      <c r="BD36" s="23">
        <v>0</v>
      </c>
      <c r="BE36" s="24">
        <v>0</v>
      </c>
      <c r="BF36" s="23"/>
      <c r="BG36" s="22">
        <v>3500</v>
      </c>
      <c r="BH36" s="23">
        <v>336</v>
      </c>
      <c r="BI36" s="23">
        <v>-3164</v>
      </c>
      <c r="BJ36" s="23">
        <v>0</v>
      </c>
      <c r="BK36" s="23">
        <v>500</v>
      </c>
      <c r="BL36" s="23">
        <v>-3000</v>
      </c>
      <c r="BM36" s="24">
        <v>500</v>
      </c>
      <c r="BN36" s="23"/>
      <c r="BO36" s="22"/>
      <c r="BP36" s="23"/>
      <c r="BQ36" s="23">
        <v>0</v>
      </c>
      <c r="BR36" s="23">
        <v>0</v>
      </c>
      <c r="BS36" s="23">
        <v>0</v>
      </c>
      <c r="BT36" s="23">
        <v>0</v>
      </c>
      <c r="BU36" s="24">
        <v>0</v>
      </c>
      <c r="BV36" s="23"/>
      <c r="BW36" s="22">
        <v>2500</v>
      </c>
      <c r="BX36" s="23">
        <v>1996.85</v>
      </c>
      <c r="BY36" s="23">
        <v>-503.15000000000009</v>
      </c>
      <c r="BZ36" s="23">
        <v>1500</v>
      </c>
      <c r="CA36" s="23">
        <v>3000</v>
      </c>
      <c r="CB36" s="23">
        <v>500</v>
      </c>
      <c r="CC36" s="24">
        <v>1500</v>
      </c>
      <c r="CD36" s="23"/>
      <c r="CE36" s="22">
        <v>6550</v>
      </c>
      <c r="CF36" s="23">
        <v>2516</v>
      </c>
      <c r="CG36" s="23">
        <v>-4034</v>
      </c>
      <c r="CH36" s="23">
        <v>1500</v>
      </c>
      <c r="CI36" s="23">
        <v>5000</v>
      </c>
      <c r="CJ36" s="23">
        <v>-1550</v>
      </c>
      <c r="CK36" s="24">
        <v>3500</v>
      </c>
      <c r="CM36" s="111">
        <v>-0.23664122137404581</v>
      </c>
      <c r="CN36" s="118">
        <v>2.3333333333333335</v>
      </c>
      <c r="CO36" s="126"/>
      <c r="CP36" s="124">
        <v>5000</v>
      </c>
    </row>
    <row r="37" spans="2:95" x14ac:dyDescent="0.2">
      <c r="B37" s="8" t="s">
        <v>34</v>
      </c>
      <c r="C37" s="22"/>
      <c r="D37" s="23"/>
      <c r="E37" s="23">
        <v>0</v>
      </c>
      <c r="F37" s="23">
        <v>0</v>
      </c>
      <c r="G37" s="23">
        <v>0</v>
      </c>
      <c r="H37" s="23">
        <v>0</v>
      </c>
      <c r="I37" s="24">
        <v>0</v>
      </c>
      <c r="J37" s="23"/>
      <c r="K37" s="22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4">
        <v>0</v>
      </c>
      <c r="R37" s="23"/>
      <c r="S37" s="22"/>
      <c r="T37" s="23"/>
      <c r="U37" s="23">
        <v>0</v>
      </c>
      <c r="V37" s="23">
        <v>0</v>
      </c>
      <c r="W37" s="23">
        <v>0</v>
      </c>
      <c r="X37" s="23">
        <v>0</v>
      </c>
      <c r="Y37" s="24">
        <v>0</v>
      </c>
      <c r="Z37" s="23"/>
      <c r="AA37" s="22"/>
      <c r="AB37" s="23"/>
      <c r="AC37" s="23">
        <v>0</v>
      </c>
      <c r="AD37" s="23"/>
      <c r="AE37" s="23">
        <v>0</v>
      </c>
      <c r="AF37" s="23">
        <v>0</v>
      </c>
      <c r="AG37" s="24">
        <v>0</v>
      </c>
      <c r="AH37" s="23"/>
      <c r="AI37" s="22"/>
      <c r="AJ37" s="23"/>
      <c r="AK37" s="23">
        <v>0</v>
      </c>
      <c r="AL37" s="23">
        <v>0</v>
      </c>
      <c r="AM37" s="23">
        <v>0</v>
      </c>
      <c r="AN37" s="23">
        <v>0</v>
      </c>
      <c r="AO37" s="24">
        <v>0</v>
      </c>
      <c r="AP37" s="23"/>
      <c r="AQ37" s="22"/>
      <c r="AR37" s="23"/>
      <c r="AS37" s="23">
        <v>0</v>
      </c>
      <c r="AT37" s="23">
        <v>0</v>
      </c>
      <c r="AU37" s="23">
        <v>0</v>
      </c>
      <c r="AV37" s="23">
        <v>0</v>
      </c>
      <c r="AW37" s="24">
        <v>0</v>
      </c>
      <c r="AX37" s="23"/>
      <c r="AY37" s="22">
        <v>100000</v>
      </c>
      <c r="AZ37" s="23">
        <v>124971.12</v>
      </c>
      <c r="BA37" s="23">
        <v>24971.119999999995</v>
      </c>
      <c r="BB37" s="23">
        <v>100000</v>
      </c>
      <c r="BC37" s="23">
        <v>100000</v>
      </c>
      <c r="BD37" s="23">
        <v>0</v>
      </c>
      <c r="BE37" s="24">
        <v>0</v>
      </c>
      <c r="BF37" s="23"/>
      <c r="BG37" s="22"/>
      <c r="BH37" s="23"/>
      <c r="BI37" s="23">
        <v>0</v>
      </c>
      <c r="BJ37" s="23">
        <v>8000</v>
      </c>
      <c r="BK37" s="23">
        <v>0</v>
      </c>
      <c r="BL37" s="23">
        <v>0</v>
      </c>
      <c r="BM37" s="24">
        <v>-8000</v>
      </c>
      <c r="BN37" s="23"/>
      <c r="BO37" s="22"/>
      <c r="BP37" s="23"/>
      <c r="BQ37" s="23">
        <v>0</v>
      </c>
      <c r="BR37" s="23">
        <v>1000</v>
      </c>
      <c r="BS37" s="23">
        <v>0</v>
      </c>
      <c r="BT37" s="23">
        <v>0</v>
      </c>
      <c r="BU37" s="24">
        <v>-1000</v>
      </c>
      <c r="BV37" s="23"/>
      <c r="BW37" s="22"/>
      <c r="BX37" s="23"/>
      <c r="BY37" s="23">
        <v>0</v>
      </c>
      <c r="BZ37" s="23">
        <v>0</v>
      </c>
      <c r="CA37" s="23">
        <v>0</v>
      </c>
      <c r="CB37" s="23">
        <v>0</v>
      </c>
      <c r="CC37" s="24">
        <v>0</v>
      </c>
      <c r="CD37" s="23"/>
      <c r="CE37" s="22">
        <v>100000</v>
      </c>
      <c r="CF37" s="23">
        <v>124971.12</v>
      </c>
      <c r="CG37" s="23">
        <v>24971.119999999995</v>
      </c>
      <c r="CH37" s="23">
        <v>109000</v>
      </c>
      <c r="CI37" s="23">
        <v>100000</v>
      </c>
      <c r="CJ37" s="23">
        <v>0</v>
      </c>
      <c r="CK37" s="24">
        <v>-9000</v>
      </c>
      <c r="CM37" s="111">
        <v>0</v>
      </c>
      <c r="CN37" s="114">
        <v>-8.2568807339449546E-2</v>
      </c>
      <c r="CO37" s="126"/>
      <c r="CP37" s="124">
        <v>100000</v>
      </c>
    </row>
    <row r="38" spans="2:95" x14ac:dyDescent="0.2">
      <c r="B38" s="8" t="s">
        <v>14</v>
      </c>
      <c r="C38" s="22"/>
      <c r="D38" s="23"/>
      <c r="E38" s="23">
        <v>0</v>
      </c>
      <c r="F38" s="23">
        <v>0</v>
      </c>
      <c r="G38" s="23">
        <v>0</v>
      </c>
      <c r="H38" s="23">
        <v>0</v>
      </c>
      <c r="I38" s="24">
        <v>0</v>
      </c>
      <c r="J38" s="23"/>
      <c r="K38" s="22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4">
        <v>0</v>
      </c>
      <c r="R38" s="23"/>
      <c r="S38" s="22">
        <v>170000</v>
      </c>
      <c r="T38" s="23">
        <v>116468.71</v>
      </c>
      <c r="U38" s="23">
        <v>-53531.289999999994</v>
      </c>
      <c r="V38" s="23">
        <v>170000</v>
      </c>
      <c r="W38" s="23">
        <v>115170.70000000001</v>
      </c>
      <c r="X38" s="23">
        <v>-54829.299999999988</v>
      </c>
      <c r="Y38" s="24">
        <v>-54829.299999999988</v>
      </c>
      <c r="Z38" s="23"/>
      <c r="AA38" s="22">
        <v>100000</v>
      </c>
      <c r="AB38" s="23">
        <v>78004.7</v>
      </c>
      <c r="AC38" s="23">
        <v>-21995.300000000003</v>
      </c>
      <c r="AD38" s="23">
        <v>96580</v>
      </c>
      <c r="AE38" s="23">
        <v>98660</v>
      </c>
      <c r="AF38" s="23">
        <v>20655.300000000003</v>
      </c>
      <c r="AG38" s="24">
        <v>2080</v>
      </c>
      <c r="AH38" s="23"/>
      <c r="AI38" s="22">
        <v>50000</v>
      </c>
      <c r="AJ38" s="23">
        <v>50156.91</v>
      </c>
      <c r="AK38" s="23">
        <v>156.91000000000349</v>
      </c>
      <c r="AL38" s="23">
        <v>48000</v>
      </c>
      <c r="AM38" s="23">
        <v>50000</v>
      </c>
      <c r="AN38" s="23">
        <v>0</v>
      </c>
      <c r="AO38" s="24">
        <v>2000</v>
      </c>
      <c r="AP38" s="23"/>
      <c r="AQ38" s="22">
        <v>85000</v>
      </c>
      <c r="AR38" s="23">
        <v>75406.22</v>
      </c>
      <c r="AS38" s="23">
        <v>-9593.7799999999988</v>
      </c>
      <c r="AT38" s="23">
        <v>78000</v>
      </c>
      <c r="AU38" s="23">
        <v>75437</v>
      </c>
      <c r="AV38" s="23">
        <v>-9563</v>
      </c>
      <c r="AW38" s="24">
        <v>-2563</v>
      </c>
      <c r="AX38" s="23"/>
      <c r="AY38" s="22"/>
      <c r="AZ38" s="23"/>
      <c r="BA38" s="23">
        <v>0</v>
      </c>
      <c r="BB38" s="23">
        <v>0</v>
      </c>
      <c r="BC38" s="23">
        <v>0</v>
      </c>
      <c r="BD38" s="23">
        <v>0</v>
      </c>
      <c r="BE38" s="24">
        <v>0</v>
      </c>
      <c r="BF38" s="23"/>
      <c r="BG38" s="22"/>
      <c r="BH38" s="23"/>
      <c r="BI38" s="23">
        <v>0</v>
      </c>
      <c r="BJ38" s="23">
        <v>0</v>
      </c>
      <c r="BK38" s="23">
        <v>0</v>
      </c>
      <c r="BL38" s="23">
        <v>0</v>
      </c>
      <c r="BM38" s="24">
        <v>0</v>
      </c>
      <c r="BN38" s="23"/>
      <c r="BO38" s="22">
        <v>774106</v>
      </c>
      <c r="BP38" s="23">
        <v>441240.94</v>
      </c>
      <c r="BQ38" s="23">
        <v>-332865.06</v>
      </c>
      <c r="BR38" s="23">
        <v>580000</v>
      </c>
      <c r="BS38" s="23">
        <v>480000</v>
      </c>
      <c r="BT38" s="23">
        <v>-294106</v>
      </c>
      <c r="BU38" s="24">
        <v>-100000</v>
      </c>
      <c r="BV38" s="23"/>
      <c r="BW38" s="22"/>
      <c r="BX38" s="23"/>
      <c r="BY38" s="23">
        <v>0</v>
      </c>
      <c r="BZ38" s="23">
        <v>0</v>
      </c>
      <c r="CA38" s="23">
        <v>0</v>
      </c>
      <c r="CB38" s="23">
        <v>0</v>
      </c>
      <c r="CC38" s="24">
        <v>0</v>
      </c>
      <c r="CD38" s="23"/>
      <c r="CE38" s="22">
        <v>1179106</v>
      </c>
      <c r="CF38" s="23">
        <v>761277.48</v>
      </c>
      <c r="CG38" s="23">
        <v>-417828.52</v>
      </c>
      <c r="CH38" s="23">
        <v>972580</v>
      </c>
      <c r="CI38" s="23">
        <v>819267.7</v>
      </c>
      <c r="CJ38" s="23">
        <v>-359838.30000000005</v>
      </c>
      <c r="CK38" s="24">
        <v>-153312.30000000005</v>
      </c>
      <c r="CM38" s="111">
        <v>-0.30517892369303529</v>
      </c>
      <c r="CN38" s="114">
        <v>-0.1576346418803595</v>
      </c>
      <c r="CO38" s="126">
        <v>0</v>
      </c>
      <c r="CP38" s="124">
        <v>819267.7</v>
      </c>
      <c r="CQ38" s="134"/>
    </row>
    <row r="39" spans="2:95" x14ac:dyDescent="0.2">
      <c r="B39" s="8" t="s">
        <v>15</v>
      </c>
      <c r="C39" s="22"/>
      <c r="D39" s="23"/>
      <c r="E39" s="23">
        <v>0</v>
      </c>
      <c r="F39" s="23">
        <v>0</v>
      </c>
      <c r="G39" s="23">
        <v>0</v>
      </c>
      <c r="H39" s="23">
        <v>0</v>
      </c>
      <c r="I39" s="24">
        <v>0</v>
      </c>
      <c r="J39" s="23"/>
      <c r="K39" s="22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4">
        <v>0</v>
      </c>
      <c r="R39" s="23"/>
      <c r="S39" s="22">
        <v>13000</v>
      </c>
      <c r="T39" s="23">
        <v>13115.99</v>
      </c>
      <c r="U39" s="23">
        <v>115.98999999999978</v>
      </c>
      <c r="V39" s="23">
        <v>13460</v>
      </c>
      <c r="W39" s="23">
        <v>15000</v>
      </c>
      <c r="X39" s="23">
        <v>2000</v>
      </c>
      <c r="Y39" s="24">
        <v>1540</v>
      </c>
      <c r="Z39" s="23"/>
      <c r="AA39" s="22">
        <v>11000</v>
      </c>
      <c r="AB39" s="23">
        <v>6231</v>
      </c>
      <c r="AC39" s="23">
        <v>-4769</v>
      </c>
      <c r="AD39" s="23">
        <v>22464</v>
      </c>
      <c r="AE39" s="23">
        <v>19822</v>
      </c>
      <c r="AF39" s="23">
        <v>13591</v>
      </c>
      <c r="AG39" s="24">
        <v>-2642</v>
      </c>
      <c r="AH39" s="23"/>
      <c r="AI39" s="22">
        <v>7000</v>
      </c>
      <c r="AJ39" s="23">
        <v>4050.65</v>
      </c>
      <c r="AK39" s="23">
        <v>-2949.35</v>
      </c>
      <c r="AL39" s="23">
        <v>5000</v>
      </c>
      <c r="AM39" s="23">
        <v>6000</v>
      </c>
      <c r="AN39" s="23">
        <v>-1000</v>
      </c>
      <c r="AO39" s="24">
        <v>1000</v>
      </c>
      <c r="AP39" s="23"/>
      <c r="AQ39" s="22">
        <v>2500</v>
      </c>
      <c r="AR39" s="23">
        <v>1689.55</v>
      </c>
      <c r="AS39" s="23">
        <v>-810.45</v>
      </c>
      <c r="AT39" s="23">
        <v>1920</v>
      </c>
      <c r="AU39" s="23">
        <v>1900</v>
      </c>
      <c r="AV39" s="23">
        <v>-600</v>
      </c>
      <c r="AW39" s="24">
        <v>-20</v>
      </c>
      <c r="AX39" s="23"/>
      <c r="AY39" s="22"/>
      <c r="AZ39" s="23"/>
      <c r="BA39" s="23">
        <v>0</v>
      </c>
      <c r="BB39" s="23">
        <v>0</v>
      </c>
      <c r="BC39" s="23">
        <v>0</v>
      </c>
      <c r="BD39" s="23">
        <v>0</v>
      </c>
      <c r="BE39" s="24">
        <v>0</v>
      </c>
      <c r="BF39" s="23"/>
      <c r="BG39" s="22"/>
      <c r="BH39" s="23"/>
      <c r="BI39" s="23">
        <v>0</v>
      </c>
      <c r="BJ39" s="23">
        <v>500</v>
      </c>
      <c r="BK39" s="23">
        <v>0</v>
      </c>
      <c r="BL39" s="23">
        <v>0</v>
      </c>
      <c r="BM39" s="24">
        <v>-500</v>
      </c>
      <c r="BN39" s="23"/>
      <c r="BO39" s="22">
        <v>42000</v>
      </c>
      <c r="BP39" s="23">
        <v>61518.720000000001</v>
      </c>
      <c r="BQ39" s="23">
        <v>19518.72</v>
      </c>
      <c r="BR39" s="23">
        <v>60000</v>
      </c>
      <c r="BS39" s="23">
        <v>60000</v>
      </c>
      <c r="BT39" s="23">
        <v>18000</v>
      </c>
      <c r="BU39" s="24">
        <v>0</v>
      </c>
      <c r="BV39" s="23"/>
      <c r="BW39" s="22"/>
      <c r="BX39" s="23"/>
      <c r="BY39" s="23">
        <v>0</v>
      </c>
      <c r="BZ39" s="23">
        <v>3000</v>
      </c>
      <c r="CA39" s="23">
        <v>3000</v>
      </c>
      <c r="CB39" s="23">
        <v>3000</v>
      </c>
      <c r="CC39" s="24">
        <v>0</v>
      </c>
      <c r="CD39" s="23"/>
      <c r="CE39" s="22">
        <v>75500</v>
      </c>
      <c r="CF39" s="23">
        <v>86605.91</v>
      </c>
      <c r="CG39" s="23">
        <v>11105.910000000003</v>
      </c>
      <c r="CH39" s="23">
        <v>106344</v>
      </c>
      <c r="CI39" s="23">
        <v>105722</v>
      </c>
      <c r="CJ39" s="23">
        <v>30222</v>
      </c>
      <c r="CK39" s="24">
        <v>-622</v>
      </c>
      <c r="CM39" s="111">
        <v>0.4002913907284768</v>
      </c>
      <c r="CN39" s="114">
        <v>-5.8489430527345222E-3</v>
      </c>
      <c r="CO39" s="126"/>
      <c r="CP39" s="124">
        <v>105722</v>
      </c>
    </row>
    <row r="40" spans="2:95" x14ac:dyDescent="0.2">
      <c r="B40" s="8" t="s">
        <v>23</v>
      </c>
      <c r="C40" s="22"/>
      <c r="D40" s="23"/>
      <c r="E40" s="23">
        <v>0</v>
      </c>
      <c r="F40" s="23">
        <v>0</v>
      </c>
      <c r="G40" s="23">
        <v>0</v>
      </c>
      <c r="H40" s="23">
        <v>0</v>
      </c>
      <c r="I40" s="24">
        <v>0</v>
      </c>
      <c r="J40" s="23"/>
      <c r="K40" s="22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4">
        <v>0</v>
      </c>
      <c r="R40" s="23"/>
      <c r="S40" s="22">
        <v>300</v>
      </c>
      <c r="T40" s="23">
        <v>184.59</v>
      </c>
      <c r="U40" s="23">
        <v>-115.41</v>
      </c>
      <c r="V40" s="23">
        <v>0</v>
      </c>
      <c r="W40" s="23">
        <v>1000</v>
      </c>
      <c r="X40" s="23">
        <v>700</v>
      </c>
      <c r="Y40" s="24">
        <v>1000</v>
      </c>
      <c r="Z40" s="23"/>
      <c r="AA40" s="22">
        <v>1000</v>
      </c>
      <c r="AB40" s="23">
        <v>801.83</v>
      </c>
      <c r="AC40" s="23">
        <v>-198.16999999999996</v>
      </c>
      <c r="AD40" s="23">
        <v>2000</v>
      </c>
      <c r="AE40" s="23">
        <v>2500</v>
      </c>
      <c r="AF40" s="23">
        <v>1698.17</v>
      </c>
      <c r="AG40" s="24">
        <v>500</v>
      </c>
      <c r="AH40" s="23"/>
      <c r="AI40" s="22">
        <v>200</v>
      </c>
      <c r="AJ40" s="23">
        <v>1043.1300000000001</v>
      </c>
      <c r="AK40" s="23">
        <v>843.13000000000011</v>
      </c>
      <c r="AL40" s="23">
        <v>0</v>
      </c>
      <c r="AM40" s="23">
        <v>2500</v>
      </c>
      <c r="AN40" s="23">
        <v>2300</v>
      </c>
      <c r="AO40" s="24">
        <v>2500</v>
      </c>
      <c r="AP40" s="23"/>
      <c r="AQ40" s="22"/>
      <c r="AR40" s="23"/>
      <c r="AS40" s="23">
        <v>0</v>
      </c>
      <c r="AT40" s="23">
        <v>0</v>
      </c>
      <c r="AU40" s="23">
        <v>2500</v>
      </c>
      <c r="AV40" s="23">
        <v>2500</v>
      </c>
      <c r="AW40" s="24">
        <v>2500</v>
      </c>
      <c r="AX40" s="23"/>
      <c r="AY40" s="22"/>
      <c r="AZ40" s="23"/>
      <c r="BA40" s="23">
        <v>0</v>
      </c>
      <c r="BB40" s="23">
        <v>0</v>
      </c>
      <c r="BC40" s="23">
        <v>0</v>
      </c>
      <c r="BD40" s="23">
        <v>0</v>
      </c>
      <c r="BE40" s="24">
        <v>0</v>
      </c>
      <c r="BF40" s="23"/>
      <c r="BG40" s="22"/>
      <c r="BH40" s="23"/>
      <c r="BI40" s="23">
        <v>0</v>
      </c>
      <c r="BJ40" s="23">
        <v>0</v>
      </c>
      <c r="BK40" s="23">
        <v>0</v>
      </c>
      <c r="BL40" s="23">
        <v>0</v>
      </c>
      <c r="BM40" s="24">
        <v>0</v>
      </c>
      <c r="BN40" s="23"/>
      <c r="BO40" s="22"/>
      <c r="BP40" s="23"/>
      <c r="BQ40" s="23">
        <v>0</v>
      </c>
      <c r="BR40" s="23">
        <v>0</v>
      </c>
      <c r="BS40" s="23">
        <v>0</v>
      </c>
      <c r="BT40" s="23">
        <v>0</v>
      </c>
      <c r="BU40" s="24">
        <v>0</v>
      </c>
      <c r="BV40" s="23"/>
      <c r="BW40" s="22">
        <v>8000</v>
      </c>
      <c r="BX40" s="23">
        <v>25195.71</v>
      </c>
      <c r="BY40" s="23">
        <v>17195.71</v>
      </c>
      <c r="BZ40" s="23">
        <v>9000</v>
      </c>
      <c r="CA40" s="23">
        <v>15000</v>
      </c>
      <c r="CB40" s="23">
        <v>7000</v>
      </c>
      <c r="CC40" s="24">
        <v>6000</v>
      </c>
      <c r="CD40" s="23"/>
      <c r="CE40" s="22">
        <v>9500</v>
      </c>
      <c r="CF40" s="23">
        <v>27225.26</v>
      </c>
      <c r="CG40" s="23">
        <v>17725.259999999998</v>
      </c>
      <c r="CH40" s="23">
        <v>11000</v>
      </c>
      <c r="CI40" s="23">
        <v>23500</v>
      </c>
      <c r="CJ40" s="23">
        <v>14000</v>
      </c>
      <c r="CK40" s="24">
        <v>12500</v>
      </c>
      <c r="CM40" s="111">
        <v>1.4736842105263157</v>
      </c>
      <c r="CN40" s="118">
        <v>1.1363636363636365</v>
      </c>
      <c r="CO40" s="126"/>
      <c r="CP40" s="124">
        <v>23500</v>
      </c>
    </row>
    <row r="41" spans="2:95" x14ac:dyDescent="0.2">
      <c r="B41" s="8" t="s">
        <v>24</v>
      </c>
      <c r="C41" s="22"/>
      <c r="D41" s="23"/>
      <c r="E41" s="23">
        <v>0</v>
      </c>
      <c r="F41" s="23"/>
      <c r="G41" s="23">
        <v>0</v>
      </c>
      <c r="H41" s="23">
        <v>0</v>
      </c>
      <c r="I41" s="24">
        <v>0</v>
      </c>
      <c r="J41" s="23"/>
      <c r="K41" s="22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4">
        <v>0</v>
      </c>
      <c r="R41" s="23"/>
      <c r="S41" s="22">
        <v>1000</v>
      </c>
      <c r="T41" s="23">
        <v>366.75</v>
      </c>
      <c r="U41" s="23">
        <v>-633.25</v>
      </c>
      <c r="V41" s="23">
        <v>0</v>
      </c>
      <c r="W41" s="23">
        <v>3000</v>
      </c>
      <c r="X41" s="23">
        <v>2000</v>
      </c>
      <c r="Y41" s="24">
        <v>3000</v>
      </c>
      <c r="Z41" s="23"/>
      <c r="AA41" s="22">
        <v>2882</v>
      </c>
      <c r="AB41" s="23">
        <v>2542.11</v>
      </c>
      <c r="AC41" s="23">
        <v>-339.88999999999987</v>
      </c>
      <c r="AD41" s="23"/>
      <c r="AE41" s="23">
        <v>0</v>
      </c>
      <c r="AF41" s="23">
        <v>-2542.11</v>
      </c>
      <c r="AG41" s="24">
        <v>0</v>
      </c>
      <c r="AH41" s="23"/>
      <c r="AI41" s="22">
        <v>800</v>
      </c>
      <c r="AJ41" s="23">
        <v>785.06</v>
      </c>
      <c r="AK41" s="23">
        <v>-14.940000000000055</v>
      </c>
      <c r="AL41" s="23">
        <v>0</v>
      </c>
      <c r="AM41" s="23">
        <v>0</v>
      </c>
      <c r="AN41" s="23">
        <v>-800</v>
      </c>
      <c r="AO41" s="24">
        <v>0</v>
      </c>
      <c r="AP41" s="23"/>
      <c r="AQ41" s="22"/>
      <c r="AR41" s="23"/>
      <c r="AS41" s="23">
        <v>0</v>
      </c>
      <c r="AT41" s="23">
        <v>0</v>
      </c>
      <c r="AU41" s="23">
        <v>0</v>
      </c>
      <c r="AV41" s="23">
        <v>0</v>
      </c>
      <c r="AW41" s="24">
        <v>0</v>
      </c>
      <c r="AX41" s="23"/>
      <c r="AY41" s="22"/>
      <c r="AZ41" s="23"/>
      <c r="BA41" s="23">
        <v>0</v>
      </c>
      <c r="BB41" s="23">
        <v>0</v>
      </c>
      <c r="BC41" s="23">
        <v>0</v>
      </c>
      <c r="BD41" s="23">
        <v>0</v>
      </c>
      <c r="BE41" s="24">
        <v>0</v>
      </c>
      <c r="BF41" s="23"/>
      <c r="BG41" s="22">
        <v>3500</v>
      </c>
      <c r="BH41" s="23">
        <v>3802.2200000000003</v>
      </c>
      <c r="BI41" s="23">
        <v>302.22000000000025</v>
      </c>
      <c r="BJ41" s="23">
        <v>2000</v>
      </c>
      <c r="BK41" s="23">
        <v>2000</v>
      </c>
      <c r="BL41" s="23">
        <v>-1500</v>
      </c>
      <c r="BM41" s="24">
        <v>0</v>
      </c>
      <c r="BN41" s="23"/>
      <c r="BO41" s="22"/>
      <c r="BP41" s="23"/>
      <c r="BQ41" s="23">
        <v>0</v>
      </c>
      <c r="BR41" s="23">
        <v>0</v>
      </c>
      <c r="BS41" s="23">
        <v>0</v>
      </c>
      <c r="BT41" s="23">
        <v>0</v>
      </c>
      <c r="BU41" s="24">
        <v>0</v>
      </c>
      <c r="BV41" s="23"/>
      <c r="BW41" s="22"/>
      <c r="BX41" s="23"/>
      <c r="BY41" s="23">
        <v>0</v>
      </c>
      <c r="BZ41" s="23">
        <v>0</v>
      </c>
      <c r="CA41" s="23">
        <v>0</v>
      </c>
      <c r="CB41" s="23">
        <v>0</v>
      </c>
      <c r="CC41" s="24">
        <v>0</v>
      </c>
      <c r="CD41" s="23"/>
      <c r="CE41" s="22">
        <v>8182</v>
      </c>
      <c r="CF41" s="23">
        <v>7496.14</v>
      </c>
      <c r="CG41" s="23">
        <v>-685.85999999999967</v>
      </c>
      <c r="CH41" s="23">
        <v>2000</v>
      </c>
      <c r="CI41" s="23">
        <v>5000</v>
      </c>
      <c r="CJ41" s="23">
        <v>-3182</v>
      </c>
      <c r="CK41" s="24">
        <v>3000</v>
      </c>
      <c r="CM41" s="111">
        <v>-0.38890246883402591</v>
      </c>
      <c r="CN41" s="118">
        <v>1.5</v>
      </c>
      <c r="CO41" s="126"/>
      <c r="CP41" s="124">
        <v>5000</v>
      </c>
    </row>
    <row r="42" spans="2:95" x14ac:dyDescent="0.2">
      <c r="B42" s="8" t="s">
        <v>52</v>
      </c>
      <c r="C42" s="22"/>
      <c r="D42" s="23"/>
      <c r="E42" s="23">
        <v>0</v>
      </c>
      <c r="F42" s="23">
        <v>65493</v>
      </c>
      <c r="G42" s="23">
        <v>72162.59</v>
      </c>
      <c r="H42" s="23">
        <v>72162.59</v>
      </c>
      <c r="I42" s="24">
        <v>6669.5899999999965</v>
      </c>
      <c r="J42" s="23"/>
      <c r="K42" s="22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4">
        <v>0</v>
      </c>
      <c r="R42" s="23"/>
      <c r="S42" s="22"/>
      <c r="T42" s="23"/>
      <c r="U42" s="23">
        <v>0</v>
      </c>
      <c r="V42" s="23">
        <v>0</v>
      </c>
      <c r="W42" s="23">
        <v>0</v>
      </c>
      <c r="X42" s="23">
        <v>0</v>
      </c>
      <c r="Y42" s="24">
        <v>0</v>
      </c>
      <c r="Z42" s="23"/>
      <c r="AA42" s="22"/>
      <c r="AB42" s="23"/>
      <c r="AC42" s="23">
        <v>0</v>
      </c>
      <c r="AD42" s="23"/>
      <c r="AE42" s="23">
        <v>0</v>
      </c>
      <c r="AF42" s="23">
        <v>0</v>
      </c>
      <c r="AG42" s="24">
        <v>0</v>
      </c>
      <c r="AH42" s="23"/>
      <c r="AI42" s="22"/>
      <c r="AJ42" s="23"/>
      <c r="AK42" s="23">
        <v>0</v>
      </c>
      <c r="AL42" s="23">
        <v>0</v>
      </c>
      <c r="AM42" s="23">
        <v>0</v>
      </c>
      <c r="AN42" s="23">
        <v>0</v>
      </c>
      <c r="AO42" s="24">
        <v>0</v>
      </c>
      <c r="AP42" s="23"/>
      <c r="AQ42" s="22"/>
      <c r="AR42" s="23"/>
      <c r="AS42" s="23">
        <v>0</v>
      </c>
      <c r="AT42" s="23">
        <v>0</v>
      </c>
      <c r="AU42" s="23">
        <v>0</v>
      </c>
      <c r="AV42" s="23">
        <v>0</v>
      </c>
      <c r="AW42" s="24">
        <v>0</v>
      </c>
      <c r="AX42" s="23"/>
      <c r="AY42" s="22"/>
      <c r="AZ42" s="23"/>
      <c r="BA42" s="23">
        <v>0</v>
      </c>
      <c r="BB42" s="23">
        <v>0</v>
      </c>
      <c r="BC42" s="23">
        <v>0</v>
      </c>
      <c r="BD42" s="23">
        <v>0</v>
      </c>
      <c r="BE42" s="24">
        <v>0</v>
      </c>
      <c r="BF42" s="23"/>
      <c r="BG42" s="22"/>
      <c r="BH42" s="23"/>
      <c r="BI42" s="23">
        <v>0</v>
      </c>
      <c r="BJ42" s="23">
        <v>0</v>
      </c>
      <c r="BK42" s="23">
        <v>0</v>
      </c>
      <c r="BL42" s="23">
        <v>0</v>
      </c>
      <c r="BM42" s="24">
        <v>0</v>
      </c>
      <c r="BN42" s="23"/>
      <c r="BO42" s="22"/>
      <c r="BP42" s="23"/>
      <c r="BQ42" s="23">
        <v>0</v>
      </c>
      <c r="BR42" s="23">
        <v>0</v>
      </c>
      <c r="BS42" s="23">
        <v>0</v>
      </c>
      <c r="BT42" s="23">
        <v>0</v>
      </c>
      <c r="BU42" s="24">
        <v>0</v>
      </c>
      <c r="BV42" s="23"/>
      <c r="BW42" s="22"/>
      <c r="BX42" s="23"/>
      <c r="BY42" s="23">
        <v>0</v>
      </c>
      <c r="BZ42" s="23">
        <v>0</v>
      </c>
      <c r="CA42" s="23">
        <v>0</v>
      </c>
      <c r="CB42" s="23">
        <v>0</v>
      </c>
      <c r="CC42" s="24">
        <v>0</v>
      </c>
      <c r="CD42" s="23"/>
      <c r="CE42" s="22">
        <v>0</v>
      </c>
      <c r="CF42" s="23">
        <v>0</v>
      </c>
      <c r="CG42" s="23">
        <v>0</v>
      </c>
      <c r="CH42" s="23">
        <v>65493</v>
      </c>
      <c r="CI42" s="23">
        <v>72162.59</v>
      </c>
      <c r="CJ42" s="23">
        <v>72162.59</v>
      </c>
      <c r="CK42" s="24">
        <v>6669.5899999999965</v>
      </c>
      <c r="CM42" s="111">
        <v>0</v>
      </c>
      <c r="CN42" s="114">
        <v>0.10183668483654737</v>
      </c>
      <c r="CO42" s="126"/>
      <c r="CP42" s="124">
        <v>72162.59</v>
      </c>
    </row>
    <row r="43" spans="2:95" x14ac:dyDescent="0.2">
      <c r="B43" s="8" t="s">
        <v>69</v>
      </c>
      <c r="C43" s="22"/>
      <c r="D43" s="23"/>
      <c r="E43" s="23">
        <v>0</v>
      </c>
      <c r="F43" s="23">
        <v>0</v>
      </c>
      <c r="G43" s="23">
        <v>0</v>
      </c>
      <c r="H43" s="23">
        <v>0</v>
      </c>
      <c r="I43" s="24">
        <v>0</v>
      </c>
      <c r="J43" s="23"/>
      <c r="K43" s="22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4">
        <v>0</v>
      </c>
      <c r="R43" s="23"/>
      <c r="S43" s="22">
        <v>37000</v>
      </c>
      <c r="T43" s="23">
        <v>29801.84</v>
      </c>
      <c r="U43" s="23">
        <v>-7198.16</v>
      </c>
      <c r="V43" s="23">
        <v>40000</v>
      </c>
      <c r="W43" s="23">
        <v>45000</v>
      </c>
      <c r="X43" s="23">
        <v>8000</v>
      </c>
      <c r="Y43" s="24">
        <v>5000</v>
      </c>
      <c r="Z43" s="23"/>
      <c r="AA43" s="22">
        <v>38000</v>
      </c>
      <c r="AB43" s="23">
        <v>24947.57</v>
      </c>
      <c r="AC43" s="23">
        <v>-13052.43</v>
      </c>
      <c r="AD43" s="23">
        <v>27000</v>
      </c>
      <c r="AE43" s="23">
        <v>38000</v>
      </c>
      <c r="AF43" s="23">
        <v>13052.43</v>
      </c>
      <c r="AG43" s="24">
        <v>11000</v>
      </c>
      <c r="AH43" s="23"/>
      <c r="AI43" s="22">
        <v>17428</v>
      </c>
      <c r="AJ43" s="23">
        <v>12720.47</v>
      </c>
      <c r="AK43" s="23">
        <v>-4707.5300000000007</v>
      </c>
      <c r="AL43" s="23">
        <v>17000</v>
      </c>
      <c r="AM43" s="23">
        <v>18000</v>
      </c>
      <c r="AN43" s="23">
        <v>572</v>
      </c>
      <c r="AO43" s="24">
        <v>1000</v>
      </c>
      <c r="AP43" s="23"/>
      <c r="AQ43" s="22">
        <v>22228</v>
      </c>
      <c r="AR43" s="23">
        <v>6656.5300000000007</v>
      </c>
      <c r="AS43" s="23">
        <v>-15571.47</v>
      </c>
      <c r="AT43" s="23">
        <v>9250</v>
      </c>
      <c r="AU43" s="23">
        <v>9250</v>
      </c>
      <c r="AV43" s="23">
        <v>-12978</v>
      </c>
      <c r="AW43" s="24">
        <v>0</v>
      </c>
      <c r="AX43" s="23"/>
      <c r="AY43" s="22"/>
      <c r="AZ43" s="23"/>
      <c r="BA43" s="23">
        <v>0</v>
      </c>
      <c r="BB43" s="23">
        <v>0</v>
      </c>
      <c r="BC43" s="23">
        <v>0</v>
      </c>
      <c r="BD43" s="23">
        <v>0</v>
      </c>
      <c r="BE43" s="24">
        <v>0</v>
      </c>
      <c r="BF43" s="23"/>
      <c r="BG43" s="22">
        <v>1000</v>
      </c>
      <c r="BH43" s="23"/>
      <c r="BI43" s="23">
        <v>-1000</v>
      </c>
      <c r="BJ43" s="23">
        <v>1000</v>
      </c>
      <c r="BK43" s="23">
        <v>1000</v>
      </c>
      <c r="BL43" s="23">
        <v>0</v>
      </c>
      <c r="BM43" s="24">
        <v>0</v>
      </c>
      <c r="BN43" s="23"/>
      <c r="BO43" s="22">
        <v>60259</v>
      </c>
      <c r="BP43" s="23">
        <v>196774.2</v>
      </c>
      <c r="BQ43" s="23">
        <v>136515.20000000001</v>
      </c>
      <c r="BR43" s="23">
        <v>217500</v>
      </c>
      <c r="BS43" s="23">
        <v>220000</v>
      </c>
      <c r="BT43" s="23">
        <v>159741</v>
      </c>
      <c r="BU43" s="24">
        <v>2500</v>
      </c>
      <c r="BV43" s="23"/>
      <c r="BW43" s="22"/>
      <c r="BX43" s="23"/>
      <c r="BY43" s="23">
        <v>0</v>
      </c>
      <c r="BZ43" s="23">
        <v>0</v>
      </c>
      <c r="CA43" s="23">
        <v>0</v>
      </c>
      <c r="CB43" s="23">
        <v>0</v>
      </c>
      <c r="CC43" s="24">
        <v>0</v>
      </c>
      <c r="CD43" s="23"/>
      <c r="CE43" s="22">
        <v>175915</v>
      </c>
      <c r="CF43" s="23">
        <v>270900.61</v>
      </c>
      <c r="CG43" s="23">
        <v>94985.609999999986</v>
      </c>
      <c r="CH43" s="23">
        <v>311750</v>
      </c>
      <c r="CI43" s="23">
        <v>331250</v>
      </c>
      <c r="CJ43" s="23">
        <v>155335</v>
      </c>
      <c r="CK43" s="24">
        <v>19500</v>
      </c>
      <c r="CM43" s="111">
        <v>0.8830116817781315</v>
      </c>
      <c r="CN43" s="114">
        <v>6.2550120288692862E-2</v>
      </c>
      <c r="CO43" s="126"/>
      <c r="CP43" s="124">
        <v>331250</v>
      </c>
    </row>
    <row r="44" spans="2:95" x14ac:dyDescent="0.2">
      <c r="B44" s="8" t="s">
        <v>88</v>
      </c>
      <c r="C44" s="22"/>
      <c r="D44" s="23"/>
      <c r="E44" s="23">
        <v>0</v>
      </c>
      <c r="F44" s="23">
        <v>0</v>
      </c>
      <c r="G44" s="23">
        <v>0</v>
      </c>
      <c r="H44" s="23">
        <v>0</v>
      </c>
      <c r="I44" s="24">
        <v>0</v>
      </c>
      <c r="J44" s="23"/>
      <c r="K44" s="22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4">
        <v>0</v>
      </c>
      <c r="R44" s="23"/>
      <c r="S44" s="22"/>
      <c r="T44" s="23"/>
      <c r="U44" s="23">
        <v>0</v>
      </c>
      <c r="V44" s="23">
        <v>0</v>
      </c>
      <c r="W44" s="23">
        <v>0</v>
      </c>
      <c r="X44" s="23">
        <v>0</v>
      </c>
      <c r="Y44" s="24">
        <v>0</v>
      </c>
      <c r="Z44" s="23"/>
      <c r="AA44" s="22"/>
      <c r="AB44" s="23">
        <v>936.95</v>
      </c>
      <c r="AC44" s="23">
        <v>936.95</v>
      </c>
      <c r="AD44" s="23"/>
      <c r="AE44" s="23">
        <v>0</v>
      </c>
      <c r="AF44" s="23">
        <v>-936.95</v>
      </c>
      <c r="AG44" s="24">
        <v>0</v>
      </c>
      <c r="AH44" s="23"/>
      <c r="AI44" s="22"/>
      <c r="AJ44" s="23"/>
      <c r="AK44" s="23">
        <v>0</v>
      </c>
      <c r="AL44" s="23">
        <v>0</v>
      </c>
      <c r="AM44" s="23">
        <v>0</v>
      </c>
      <c r="AN44" s="23">
        <v>0</v>
      </c>
      <c r="AO44" s="24">
        <v>0</v>
      </c>
      <c r="AP44" s="23"/>
      <c r="AQ44" s="22"/>
      <c r="AR44" s="23"/>
      <c r="AS44" s="23">
        <v>0</v>
      </c>
      <c r="AT44" s="23">
        <v>0</v>
      </c>
      <c r="AU44" s="23">
        <v>0</v>
      </c>
      <c r="AV44" s="23">
        <v>0</v>
      </c>
      <c r="AW44" s="24">
        <v>0</v>
      </c>
      <c r="AX44" s="23"/>
      <c r="AY44" s="22"/>
      <c r="AZ44" s="23"/>
      <c r="BA44" s="23">
        <v>0</v>
      </c>
      <c r="BB44" s="23">
        <v>0</v>
      </c>
      <c r="BC44" s="23">
        <v>0</v>
      </c>
      <c r="BD44" s="23">
        <v>0</v>
      </c>
      <c r="BE44" s="24">
        <v>0</v>
      </c>
      <c r="BF44" s="23"/>
      <c r="BG44" s="22"/>
      <c r="BH44" s="23"/>
      <c r="BI44" s="23">
        <v>0</v>
      </c>
      <c r="BJ44" s="23">
        <v>0</v>
      </c>
      <c r="BK44" s="23">
        <v>0</v>
      </c>
      <c r="BL44" s="23">
        <v>0</v>
      </c>
      <c r="BM44" s="24">
        <v>0</v>
      </c>
      <c r="BN44" s="23"/>
      <c r="BO44" s="22"/>
      <c r="BP44" s="23"/>
      <c r="BQ44" s="23">
        <v>0</v>
      </c>
      <c r="BR44" s="23">
        <v>0</v>
      </c>
      <c r="BS44" s="23">
        <v>0</v>
      </c>
      <c r="BT44" s="23">
        <v>0</v>
      </c>
      <c r="BU44" s="24">
        <v>0</v>
      </c>
      <c r="BV44" s="23"/>
      <c r="BW44" s="22"/>
      <c r="BX44" s="23"/>
      <c r="BY44" s="23">
        <v>0</v>
      </c>
      <c r="BZ44" s="23">
        <v>0</v>
      </c>
      <c r="CA44" s="23">
        <v>0</v>
      </c>
      <c r="CB44" s="23">
        <v>0</v>
      </c>
      <c r="CC44" s="24">
        <v>0</v>
      </c>
      <c r="CD44" s="23"/>
      <c r="CE44" s="22">
        <v>0</v>
      </c>
      <c r="CF44" s="23">
        <v>936.95</v>
      </c>
      <c r="CG44" s="23">
        <v>936.95</v>
      </c>
      <c r="CH44" s="23">
        <v>0</v>
      </c>
      <c r="CI44" s="23">
        <v>0</v>
      </c>
      <c r="CJ44" s="23">
        <v>0</v>
      </c>
      <c r="CK44" s="24">
        <v>0</v>
      </c>
      <c r="CM44" s="111">
        <v>0</v>
      </c>
      <c r="CN44" s="114">
        <v>0</v>
      </c>
      <c r="CO44" s="126"/>
      <c r="CP44" s="124">
        <v>0</v>
      </c>
    </row>
    <row r="45" spans="2:95" x14ac:dyDescent="0.2">
      <c r="B45" s="20" t="s">
        <v>89</v>
      </c>
      <c r="C45" s="22"/>
      <c r="D45" s="23"/>
      <c r="E45" s="23">
        <v>0</v>
      </c>
      <c r="F45" s="23">
        <v>0</v>
      </c>
      <c r="G45" s="23">
        <v>0</v>
      </c>
      <c r="H45" s="23">
        <v>0</v>
      </c>
      <c r="I45" s="24">
        <v>0</v>
      </c>
      <c r="J45" s="23"/>
      <c r="K45" s="22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4">
        <v>0</v>
      </c>
      <c r="R45" s="23"/>
      <c r="S45" s="22"/>
      <c r="T45" s="23"/>
      <c r="U45" s="23">
        <v>0</v>
      </c>
      <c r="V45" s="23">
        <v>0</v>
      </c>
      <c r="W45" s="23">
        <v>0</v>
      </c>
      <c r="X45" s="23">
        <v>0</v>
      </c>
      <c r="Y45" s="24">
        <v>0</v>
      </c>
      <c r="Z45" s="23"/>
      <c r="AA45" s="22">
        <v>95600</v>
      </c>
      <c r="AB45" s="23">
        <v>96204</v>
      </c>
      <c r="AC45" s="23">
        <v>604</v>
      </c>
      <c r="AD45" s="23">
        <v>139341</v>
      </c>
      <c r="AE45" s="23">
        <v>104864</v>
      </c>
      <c r="AF45" s="23">
        <v>8660</v>
      </c>
      <c r="AG45" s="24">
        <v>-34477</v>
      </c>
      <c r="AH45" s="23"/>
      <c r="AI45" s="22"/>
      <c r="AJ45" s="23"/>
      <c r="AK45" s="23">
        <v>0</v>
      </c>
      <c r="AL45" s="23">
        <v>0</v>
      </c>
      <c r="AM45" s="23">
        <v>0</v>
      </c>
      <c r="AN45" s="23">
        <v>0</v>
      </c>
      <c r="AO45" s="24">
        <v>0</v>
      </c>
      <c r="AP45" s="23"/>
      <c r="AQ45" s="22"/>
      <c r="AR45" s="23"/>
      <c r="AS45" s="23">
        <v>0</v>
      </c>
      <c r="AT45" s="23">
        <v>0</v>
      </c>
      <c r="AU45" s="23">
        <v>0</v>
      </c>
      <c r="AV45" s="23">
        <v>0</v>
      </c>
      <c r="AW45" s="24">
        <v>0</v>
      </c>
      <c r="AX45" s="23"/>
      <c r="AY45" s="22"/>
      <c r="AZ45" s="23"/>
      <c r="BA45" s="23">
        <v>0</v>
      </c>
      <c r="BB45" s="23">
        <v>0</v>
      </c>
      <c r="BC45" s="23">
        <v>0</v>
      </c>
      <c r="BD45" s="23">
        <v>0</v>
      </c>
      <c r="BE45" s="24">
        <v>0</v>
      </c>
      <c r="BF45" s="23"/>
      <c r="BG45" s="22"/>
      <c r="BH45" s="23"/>
      <c r="BI45" s="23">
        <v>0</v>
      </c>
      <c r="BJ45" s="23">
        <v>0</v>
      </c>
      <c r="BK45" s="23">
        <v>0</v>
      </c>
      <c r="BL45" s="23">
        <v>0</v>
      </c>
      <c r="BM45" s="24">
        <v>0</v>
      </c>
      <c r="BN45" s="23"/>
      <c r="BO45" s="22"/>
      <c r="BP45" s="23">
        <v>0</v>
      </c>
      <c r="BQ45" s="23">
        <v>0</v>
      </c>
      <c r="BR45" s="23">
        <v>0</v>
      </c>
      <c r="BS45" s="23">
        <v>0</v>
      </c>
      <c r="BT45" s="23">
        <v>0</v>
      </c>
      <c r="BU45" s="24">
        <v>0</v>
      </c>
      <c r="BV45" s="23"/>
      <c r="BW45" s="22"/>
      <c r="BX45" s="23"/>
      <c r="BY45" s="23">
        <v>0</v>
      </c>
      <c r="BZ45" s="23">
        <v>0</v>
      </c>
      <c r="CA45" s="23">
        <v>0</v>
      </c>
      <c r="CB45" s="23">
        <v>0</v>
      </c>
      <c r="CC45" s="24">
        <v>0</v>
      </c>
      <c r="CD45" s="23"/>
      <c r="CE45" s="22">
        <v>95600</v>
      </c>
      <c r="CF45" s="23">
        <v>96204</v>
      </c>
      <c r="CG45" s="23">
        <v>604</v>
      </c>
      <c r="CH45" s="23">
        <v>139341</v>
      </c>
      <c r="CI45" s="23">
        <v>104864</v>
      </c>
      <c r="CJ45" s="23">
        <v>9264</v>
      </c>
      <c r="CK45" s="24">
        <v>-34477</v>
      </c>
      <c r="CM45" s="111">
        <v>9.6903765690376564E-2</v>
      </c>
      <c r="CN45" s="114">
        <v>-0.24742896921939703</v>
      </c>
      <c r="CO45" s="126"/>
      <c r="CP45" s="124">
        <v>104864</v>
      </c>
    </row>
    <row r="46" spans="2:95" x14ac:dyDescent="0.2">
      <c r="B46" s="8" t="s">
        <v>27</v>
      </c>
      <c r="C46" s="22">
        <v>6665</v>
      </c>
      <c r="D46" s="23">
        <v>6665</v>
      </c>
      <c r="E46" s="23">
        <v>0</v>
      </c>
      <c r="F46" s="23">
        <v>14001</v>
      </c>
      <c r="G46" s="23">
        <v>14076</v>
      </c>
      <c r="H46" s="23">
        <v>7411</v>
      </c>
      <c r="I46" s="24">
        <v>75</v>
      </c>
      <c r="J46" s="23"/>
      <c r="K46" s="22">
        <v>0</v>
      </c>
      <c r="L46" s="23">
        <v>0</v>
      </c>
      <c r="M46" s="23">
        <v>0</v>
      </c>
      <c r="N46" s="23">
        <v>0</v>
      </c>
      <c r="O46" s="23">
        <v>1500</v>
      </c>
      <c r="P46" s="23">
        <v>1500</v>
      </c>
      <c r="Q46" s="24">
        <v>1500</v>
      </c>
      <c r="R46" s="23"/>
      <c r="S46" s="22">
        <v>950</v>
      </c>
      <c r="T46" s="23">
        <v>523.99</v>
      </c>
      <c r="U46" s="23">
        <v>-426.01</v>
      </c>
      <c r="V46" s="23">
        <v>1100</v>
      </c>
      <c r="W46" s="23">
        <v>0</v>
      </c>
      <c r="X46" s="23">
        <v>-950</v>
      </c>
      <c r="Y46" s="24">
        <v>-1100</v>
      </c>
      <c r="Z46" s="23"/>
      <c r="AA46" s="22"/>
      <c r="AB46" s="23"/>
      <c r="AC46" s="23">
        <v>0</v>
      </c>
      <c r="AD46" s="23">
        <v>600</v>
      </c>
      <c r="AE46" s="23">
        <v>0</v>
      </c>
      <c r="AF46" s="23">
        <v>0</v>
      </c>
      <c r="AG46" s="24">
        <v>-600</v>
      </c>
      <c r="AH46" s="23"/>
      <c r="AI46" s="22">
        <v>500</v>
      </c>
      <c r="AJ46" s="23"/>
      <c r="AK46" s="23">
        <v>-500</v>
      </c>
      <c r="AL46" s="23">
        <v>0</v>
      </c>
      <c r="AM46" s="23">
        <v>0</v>
      </c>
      <c r="AN46" s="23">
        <v>-500</v>
      </c>
      <c r="AO46" s="24">
        <v>0</v>
      </c>
      <c r="AP46" s="23"/>
      <c r="AQ46" s="22"/>
      <c r="AR46" s="23"/>
      <c r="AS46" s="23">
        <v>0</v>
      </c>
      <c r="AT46" s="23">
        <v>0</v>
      </c>
      <c r="AU46" s="23">
        <v>0</v>
      </c>
      <c r="AV46" s="23">
        <v>0</v>
      </c>
      <c r="AW46" s="24">
        <v>0</v>
      </c>
      <c r="AX46" s="23"/>
      <c r="AY46" s="22">
        <v>780</v>
      </c>
      <c r="AZ46" s="23">
        <v>780</v>
      </c>
      <c r="BA46" s="23">
        <v>0</v>
      </c>
      <c r="BB46" s="23">
        <v>949</v>
      </c>
      <c r="BC46" s="23">
        <v>16930</v>
      </c>
      <c r="BD46" s="23">
        <v>16150</v>
      </c>
      <c r="BE46" s="24">
        <v>15981</v>
      </c>
      <c r="BF46" s="23"/>
      <c r="BG46" s="22">
        <v>3700</v>
      </c>
      <c r="BH46" s="23">
        <v>1991.95</v>
      </c>
      <c r="BI46" s="23">
        <v>-1708.05</v>
      </c>
      <c r="BJ46" s="23">
        <v>6246</v>
      </c>
      <c r="BK46" s="23">
        <v>8000</v>
      </c>
      <c r="BL46" s="23">
        <v>4300</v>
      </c>
      <c r="BM46" s="24">
        <v>1754</v>
      </c>
      <c r="BN46" s="23"/>
      <c r="BO46" s="22">
        <v>2000</v>
      </c>
      <c r="BP46" s="23">
        <v>1150</v>
      </c>
      <c r="BQ46" s="23">
        <v>-850</v>
      </c>
      <c r="BR46" s="23">
        <v>4800</v>
      </c>
      <c r="BS46" s="23">
        <v>3800</v>
      </c>
      <c r="BT46" s="23">
        <v>1800</v>
      </c>
      <c r="BU46" s="24">
        <v>-1000</v>
      </c>
      <c r="BV46" s="23"/>
      <c r="BW46" s="22">
        <v>2375</v>
      </c>
      <c r="BX46" s="23">
        <v>1500</v>
      </c>
      <c r="BY46" s="23">
        <v>-875</v>
      </c>
      <c r="BZ46" s="23">
        <v>1425</v>
      </c>
      <c r="CA46" s="23">
        <v>3725</v>
      </c>
      <c r="CB46" s="23">
        <v>1350</v>
      </c>
      <c r="CC46" s="24">
        <v>2300</v>
      </c>
      <c r="CD46" s="23"/>
      <c r="CE46" s="22">
        <v>16970</v>
      </c>
      <c r="CF46" s="23">
        <v>12610.94</v>
      </c>
      <c r="CG46" s="23">
        <v>-4359.0599999999995</v>
      </c>
      <c r="CH46" s="23">
        <v>29121</v>
      </c>
      <c r="CI46" s="23">
        <v>48031</v>
      </c>
      <c r="CJ46" s="23">
        <v>31061</v>
      </c>
      <c r="CK46" s="24">
        <v>18910</v>
      </c>
      <c r="CM46" s="111">
        <v>1.8303476723629934</v>
      </c>
      <c r="CN46" s="118">
        <v>0.64935956869612999</v>
      </c>
      <c r="CO46" s="126">
        <v>0</v>
      </c>
      <c r="CP46" s="124">
        <v>48031</v>
      </c>
    </row>
    <row r="47" spans="2:95" x14ac:dyDescent="0.2">
      <c r="B47" s="8" t="s">
        <v>25</v>
      </c>
      <c r="C47" s="22"/>
      <c r="D47" s="23"/>
      <c r="E47" s="23">
        <v>0</v>
      </c>
      <c r="F47" s="23">
        <v>0</v>
      </c>
      <c r="G47" s="23">
        <v>0</v>
      </c>
      <c r="H47" s="23">
        <v>0</v>
      </c>
      <c r="I47" s="24">
        <v>0</v>
      </c>
      <c r="J47" s="23"/>
      <c r="K47" s="22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4">
        <v>0</v>
      </c>
      <c r="R47" s="23"/>
      <c r="S47" s="22">
        <v>7000</v>
      </c>
      <c r="T47" s="23">
        <v>6743.11</v>
      </c>
      <c r="U47" s="23">
        <v>-256.89000000000033</v>
      </c>
      <c r="V47" s="23">
        <v>28840</v>
      </c>
      <c r="W47" s="23">
        <v>2500</v>
      </c>
      <c r="X47" s="23">
        <v>-4500</v>
      </c>
      <c r="Y47" s="24">
        <v>-26340</v>
      </c>
      <c r="Z47" s="23"/>
      <c r="AA47" s="22">
        <v>6673</v>
      </c>
      <c r="AB47" s="23">
        <v>5204.95</v>
      </c>
      <c r="AC47" s="23">
        <v>-1468.0500000000002</v>
      </c>
      <c r="AD47" s="23">
        <v>14420</v>
      </c>
      <c r="AE47" s="23">
        <v>0</v>
      </c>
      <c r="AF47" s="23">
        <v>-5204.95</v>
      </c>
      <c r="AG47" s="24">
        <v>-14420</v>
      </c>
      <c r="AH47" s="23"/>
      <c r="AI47" s="22">
        <v>2500</v>
      </c>
      <c r="AJ47" s="23">
        <v>3252.48</v>
      </c>
      <c r="AK47" s="23">
        <v>752.48</v>
      </c>
      <c r="AL47" s="23">
        <v>10240</v>
      </c>
      <c r="AM47" s="23">
        <v>0</v>
      </c>
      <c r="AN47" s="23">
        <v>-2500</v>
      </c>
      <c r="AO47" s="24">
        <v>-10240</v>
      </c>
      <c r="AP47" s="23"/>
      <c r="AQ47" s="22">
        <v>3500</v>
      </c>
      <c r="AR47" s="23">
        <v>1994.7</v>
      </c>
      <c r="AS47" s="23">
        <v>-1505.3</v>
      </c>
      <c r="AT47" s="23">
        <v>9320</v>
      </c>
      <c r="AU47" s="23">
        <v>0</v>
      </c>
      <c r="AV47" s="23">
        <v>-3500</v>
      </c>
      <c r="AW47" s="24">
        <v>-9320</v>
      </c>
      <c r="AX47" s="23"/>
      <c r="AY47" s="22"/>
      <c r="AZ47" s="23"/>
      <c r="BA47" s="23">
        <v>0</v>
      </c>
      <c r="BB47" s="23">
        <v>0</v>
      </c>
      <c r="BC47" s="23">
        <v>0</v>
      </c>
      <c r="BD47" s="23">
        <v>0</v>
      </c>
      <c r="BE47" s="24">
        <v>0</v>
      </c>
      <c r="BF47" s="23"/>
      <c r="BG47" s="22"/>
      <c r="BH47" s="23"/>
      <c r="BI47" s="23">
        <v>0</v>
      </c>
      <c r="BJ47" s="23">
        <v>500</v>
      </c>
      <c r="BK47" s="23">
        <v>1250</v>
      </c>
      <c r="BL47" s="23">
        <v>1250</v>
      </c>
      <c r="BM47" s="24">
        <v>750</v>
      </c>
      <c r="BN47" s="23"/>
      <c r="BO47" s="22"/>
      <c r="BP47" s="23"/>
      <c r="BQ47" s="23">
        <v>0</v>
      </c>
      <c r="BR47" s="23">
        <v>0</v>
      </c>
      <c r="BS47" s="23">
        <v>0</v>
      </c>
      <c r="BT47" s="23">
        <v>0</v>
      </c>
      <c r="BU47" s="24">
        <v>0</v>
      </c>
      <c r="BV47" s="23"/>
      <c r="BW47" s="22">
        <v>25000</v>
      </c>
      <c r="BX47" s="23">
        <v>25126.74</v>
      </c>
      <c r="BY47" s="23">
        <v>126.7400000000016</v>
      </c>
      <c r="BZ47" s="23">
        <v>47820</v>
      </c>
      <c r="CA47" s="23">
        <v>111504</v>
      </c>
      <c r="CB47" s="23">
        <v>86504</v>
      </c>
      <c r="CC47" s="24">
        <v>63684</v>
      </c>
      <c r="CD47" s="23"/>
      <c r="CE47" s="22">
        <v>44673</v>
      </c>
      <c r="CF47" s="23">
        <v>42321.979999999996</v>
      </c>
      <c r="CG47" s="23">
        <v>-2351.0200000000041</v>
      </c>
      <c r="CH47" s="23">
        <v>111140</v>
      </c>
      <c r="CI47" s="23">
        <v>115254</v>
      </c>
      <c r="CJ47" s="23">
        <v>70581</v>
      </c>
      <c r="CK47" s="24">
        <v>4114</v>
      </c>
      <c r="CM47" s="111">
        <v>1.5799476193674031</v>
      </c>
      <c r="CN47" s="114">
        <v>3.7016375742306998E-2</v>
      </c>
      <c r="CO47" s="126"/>
      <c r="CP47" s="124">
        <v>115254</v>
      </c>
    </row>
    <row r="48" spans="2:95" x14ac:dyDescent="0.2">
      <c r="B48" s="8" t="s">
        <v>70</v>
      </c>
      <c r="C48" s="22"/>
      <c r="D48" s="23"/>
      <c r="E48" s="23">
        <v>0</v>
      </c>
      <c r="F48" s="23">
        <v>0</v>
      </c>
      <c r="G48" s="23">
        <v>0</v>
      </c>
      <c r="H48" s="23">
        <v>0</v>
      </c>
      <c r="I48" s="24">
        <v>0</v>
      </c>
      <c r="J48" s="23"/>
      <c r="K48" s="22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4">
        <v>0</v>
      </c>
      <c r="R48" s="23"/>
      <c r="S48" s="22"/>
      <c r="T48" s="23"/>
      <c r="U48" s="23">
        <v>0</v>
      </c>
      <c r="V48" s="23">
        <v>0</v>
      </c>
      <c r="W48" s="23">
        <v>0</v>
      </c>
      <c r="X48" s="23">
        <v>0</v>
      </c>
      <c r="Y48" s="24">
        <v>0</v>
      </c>
      <c r="Z48" s="23"/>
      <c r="AA48" s="22"/>
      <c r="AB48" s="23"/>
      <c r="AC48" s="23">
        <v>0</v>
      </c>
      <c r="AD48" s="23"/>
      <c r="AE48" s="23">
        <v>0</v>
      </c>
      <c r="AF48" s="23">
        <v>0</v>
      </c>
      <c r="AG48" s="24">
        <v>0</v>
      </c>
      <c r="AH48" s="23"/>
      <c r="AI48" s="22"/>
      <c r="AJ48" s="23"/>
      <c r="AK48" s="23">
        <v>0</v>
      </c>
      <c r="AL48" s="23">
        <v>0</v>
      </c>
      <c r="AM48" s="23">
        <v>0</v>
      </c>
      <c r="AN48" s="23">
        <v>0</v>
      </c>
      <c r="AO48" s="24">
        <v>0</v>
      </c>
      <c r="AP48" s="23"/>
      <c r="AQ48" s="22"/>
      <c r="AR48" s="23"/>
      <c r="AS48" s="23">
        <v>0</v>
      </c>
      <c r="AT48" s="23">
        <v>0</v>
      </c>
      <c r="AU48" s="23">
        <v>0</v>
      </c>
      <c r="AV48" s="23">
        <v>0</v>
      </c>
      <c r="AW48" s="24">
        <v>0</v>
      </c>
      <c r="AX48" s="23"/>
      <c r="AY48" s="22"/>
      <c r="AZ48" s="23"/>
      <c r="BA48" s="23">
        <v>0</v>
      </c>
      <c r="BB48" s="23">
        <v>0</v>
      </c>
      <c r="BC48" s="23">
        <v>0</v>
      </c>
      <c r="BD48" s="23">
        <v>0</v>
      </c>
      <c r="BE48" s="24">
        <v>0</v>
      </c>
      <c r="BF48" s="23"/>
      <c r="BG48" s="22"/>
      <c r="BH48" s="23"/>
      <c r="BI48" s="23">
        <v>0</v>
      </c>
      <c r="BJ48" s="23">
        <v>1000</v>
      </c>
      <c r="BK48" s="23">
        <v>750</v>
      </c>
      <c r="BL48" s="23">
        <v>750</v>
      </c>
      <c r="BM48" s="24">
        <v>-250</v>
      </c>
      <c r="BN48" s="23"/>
      <c r="BO48" s="22"/>
      <c r="BP48" s="23"/>
      <c r="BQ48" s="23">
        <v>0</v>
      </c>
      <c r="BR48" s="23">
        <v>0</v>
      </c>
      <c r="BS48" s="23">
        <v>0</v>
      </c>
      <c r="BT48" s="23">
        <v>0</v>
      </c>
      <c r="BU48" s="24">
        <v>0</v>
      </c>
      <c r="BV48" s="23"/>
      <c r="BW48" s="22">
        <v>15000</v>
      </c>
      <c r="BX48" s="23"/>
      <c r="BY48" s="23">
        <v>-15000</v>
      </c>
      <c r="BZ48" s="23">
        <v>15000</v>
      </c>
      <c r="CA48" s="23">
        <v>20000</v>
      </c>
      <c r="CB48" s="23">
        <v>5000</v>
      </c>
      <c r="CC48" s="24">
        <v>5000</v>
      </c>
      <c r="CD48" s="23"/>
      <c r="CE48" s="22">
        <v>15000</v>
      </c>
      <c r="CF48" s="23">
        <v>0</v>
      </c>
      <c r="CG48" s="23">
        <v>-15000</v>
      </c>
      <c r="CH48" s="23">
        <v>16000</v>
      </c>
      <c r="CI48" s="23">
        <v>20750</v>
      </c>
      <c r="CJ48" s="23">
        <v>5750</v>
      </c>
      <c r="CK48" s="24">
        <v>4750</v>
      </c>
      <c r="CM48" s="111">
        <v>0.38333333333333336</v>
      </c>
      <c r="CN48" s="114">
        <v>0.296875</v>
      </c>
      <c r="CO48" s="126"/>
      <c r="CP48" s="124">
        <v>20750</v>
      </c>
    </row>
    <row r="49" spans="2:94" x14ac:dyDescent="0.2">
      <c r="B49" s="8" t="s">
        <v>21</v>
      </c>
      <c r="C49" s="22"/>
      <c r="D49" s="23"/>
      <c r="E49" s="23">
        <v>0</v>
      </c>
      <c r="F49" s="23">
        <v>0</v>
      </c>
      <c r="G49" s="23">
        <v>0</v>
      </c>
      <c r="H49" s="23">
        <v>0</v>
      </c>
      <c r="I49" s="24">
        <v>0</v>
      </c>
      <c r="J49" s="23"/>
      <c r="K49" s="22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4">
        <v>0</v>
      </c>
      <c r="R49" s="23"/>
      <c r="S49" s="22"/>
      <c r="T49" s="23"/>
      <c r="U49" s="23">
        <v>0</v>
      </c>
      <c r="V49" s="23">
        <v>0</v>
      </c>
      <c r="W49" s="23">
        <v>0</v>
      </c>
      <c r="X49" s="23">
        <v>0</v>
      </c>
      <c r="Y49" s="24">
        <v>0</v>
      </c>
      <c r="Z49" s="23"/>
      <c r="AA49" s="22"/>
      <c r="AB49" s="23"/>
      <c r="AC49" s="23">
        <v>0</v>
      </c>
      <c r="AD49" s="23"/>
      <c r="AE49" s="23">
        <v>0</v>
      </c>
      <c r="AF49" s="23">
        <v>0</v>
      </c>
      <c r="AG49" s="24">
        <v>0</v>
      </c>
      <c r="AH49" s="23"/>
      <c r="AI49" s="22"/>
      <c r="AJ49" s="23"/>
      <c r="AK49" s="23">
        <v>0</v>
      </c>
      <c r="AL49" s="23">
        <v>0</v>
      </c>
      <c r="AM49" s="23">
        <v>0</v>
      </c>
      <c r="AN49" s="23">
        <v>0</v>
      </c>
      <c r="AO49" s="24">
        <v>0</v>
      </c>
      <c r="AP49" s="23"/>
      <c r="AQ49" s="22"/>
      <c r="AR49" s="23"/>
      <c r="AS49" s="23">
        <v>0</v>
      </c>
      <c r="AT49" s="23">
        <v>0</v>
      </c>
      <c r="AU49" s="23">
        <v>0</v>
      </c>
      <c r="AV49" s="23">
        <v>0</v>
      </c>
      <c r="AW49" s="24">
        <v>0</v>
      </c>
      <c r="AX49" s="23"/>
      <c r="AY49" s="22"/>
      <c r="AZ49" s="23"/>
      <c r="BA49" s="23">
        <v>0</v>
      </c>
      <c r="BB49" s="23">
        <v>0</v>
      </c>
      <c r="BC49" s="23">
        <v>0</v>
      </c>
      <c r="BD49" s="23">
        <v>0</v>
      </c>
      <c r="BE49" s="24">
        <v>0</v>
      </c>
      <c r="BF49" s="23"/>
      <c r="BG49" s="22"/>
      <c r="BH49" s="23"/>
      <c r="BI49" s="23">
        <v>0</v>
      </c>
      <c r="BJ49" s="23">
        <v>0</v>
      </c>
      <c r="BK49" s="23">
        <v>0</v>
      </c>
      <c r="BL49" s="23">
        <v>0</v>
      </c>
      <c r="BM49" s="24">
        <v>0</v>
      </c>
      <c r="BN49" s="23"/>
      <c r="BO49" s="22"/>
      <c r="BP49" s="23"/>
      <c r="BQ49" s="23">
        <v>0</v>
      </c>
      <c r="BR49" s="23">
        <v>0</v>
      </c>
      <c r="BS49" s="23">
        <v>0</v>
      </c>
      <c r="BT49" s="23">
        <v>0</v>
      </c>
      <c r="BU49" s="24">
        <v>0</v>
      </c>
      <c r="BV49" s="23"/>
      <c r="BW49" s="22">
        <v>71000</v>
      </c>
      <c r="BX49" s="23">
        <v>78117.77</v>
      </c>
      <c r="BY49" s="23">
        <v>7117.7700000000041</v>
      </c>
      <c r="BZ49" s="23">
        <v>65000</v>
      </c>
      <c r="CA49" s="23">
        <v>65000</v>
      </c>
      <c r="CB49" s="23">
        <v>-6000</v>
      </c>
      <c r="CC49" s="24">
        <v>0</v>
      </c>
      <c r="CD49" s="23"/>
      <c r="CE49" s="22">
        <v>71000</v>
      </c>
      <c r="CF49" s="23">
        <v>78117.77</v>
      </c>
      <c r="CG49" s="23">
        <v>7117.7700000000041</v>
      </c>
      <c r="CH49" s="23">
        <v>65000</v>
      </c>
      <c r="CI49" s="23">
        <v>65000</v>
      </c>
      <c r="CJ49" s="23">
        <v>-6000</v>
      </c>
      <c r="CK49" s="24">
        <v>0</v>
      </c>
      <c r="CM49" s="111">
        <v>-8.4507042253521125E-2</v>
      </c>
      <c r="CN49" s="114">
        <v>0</v>
      </c>
      <c r="CO49" s="126"/>
      <c r="CP49" s="124">
        <v>65000</v>
      </c>
    </row>
    <row r="50" spans="2:94" x14ac:dyDescent="0.2">
      <c r="B50" s="8" t="s">
        <v>26</v>
      </c>
      <c r="C50" s="22"/>
      <c r="D50" s="23"/>
      <c r="E50" s="23">
        <v>0</v>
      </c>
      <c r="F50" s="23">
        <v>0</v>
      </c>
      <c r="G50" s="23">
        <v>0</v>
      </c>
      <c r="H50" s="23">
        <v>0</v>
      </c>
      <c r="I50" s="24">
        <v>0</v>
      </c>
      <c r="J50" s="23"/>
      <c r="K50" s="22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4">
        <v>0</v>
      </c>
      <c r="R50" s="23"/>
      <c r="S50" s="22"/>
      <c r="T50" s="23">
        <v>1000</v>
      </c>
      <c r="U50" s="23">
        <v>1000</v>
      </c>
      <c r="V50" s="23">
        <v>17500</v>
      </c>
      <c r="W50" s="23">
        <v>18500</v>
      </c>
      <c r="X50" s="23">
        <v>18500</v>
      </c>
      <c r="Y50" s="24">
        <v>1000</v>
      </c>
      <c r="Z50" s="23"/>
      <c r="AA50" s="22"/>
      <c r="AB50" s="23"/>
      <c r="AC50" s="23">
        <v>0</v>
      </c>
      <c r="AD50" s="23">
        <v>10000</v>
      </c>
      <c r="AE50" s="23">
        <v>10000</v>
      </c>
      <c r="AF50" s="23">
        <v>10000</v>
      </c>
      <c r="AG50" s="24">
        <v>0</v>
      </c>
      <c r="AH50" s="23"/>
      <c r="AI50" s="22"/>
      <c r="AJ50" s="23">
        <v>5721.54</v>
      </c>
      <c r="AK50" s="23">
        <v>5721.54</v>
      </c>
      <c r="AL50" s="23">
        <v>9000</v>
      </c>
      <c r="AM50" s="23">
        <v>12500</v>
      </c>
      <c r="AN50" s="23">
        <v>12500</v>
      </c>
      <c r="AO50" s="24">
        <v>3500</v>
      </c>
      <c r="AP50" s="23"/>
      <c r="AQ50" s="22"/>
      <c r="AR50" s="23"/>
      <c r="AS50" s="23">
        <v>0</v>
      </c>
      <c r="AT50" s="23">
        <v>5000</v>
      </c>
      <c r="AU50" s="23">
        <v>15000</v>
      </c>
      <c r="AV50" s="23">
        <v>15000</v>
      </c>
      <c r="AW50" s="24">
        <v>10000</v>
      </c>
      <c r="AX50" s="23"/>
      <c r="AY50" s="22"/>
      <c r="AZ50" s="23"/>
      <c r="BA50" s="23">
        <v>0</v>
      </c>
      <c r="BB50" s="23">
        <v>0</v>
      </c>
      <c r="BC50" s="23">
        <v>0</v>
      </c>
      <c r="BD50" s="23">
        <v>0</v>
      </c>
      <c r="BE50" s="24">
        <v>0</v>
      </c>
      <c r="BF50" s="23"/>
      <c r="BG50" s="22"/>
      <c r="BH50" s="23"/>
      <c r="BI50" s="23">
        <v>0</v>
      </c>
      <c r="BJ50" s="23">
        <v>17000</v>
      </c>
      <c r="BK50" s="23">
        <v>17000</v>
      </c>
      <c r="BL50" s="23">
        <v>17000</v>
      </c>
      <c r="BM50" s="24">
        <v>0</v>
      </c>
      <c r="BN50" s="23"/>
      <c r="BO50" s="22">
        <v>30000</v>
      </c>
      <c r="BP50" s="23">
        <v>27669.15</v>
      </c>
      <c r="BQ50" s="23">
        <v>-2330.8499999999985</v>
      </c>
      <c r="BR50" s="23">
        <v>25000</v>
      </c>
      <c r="BS50" s="23">
        <v>25000</v>
      </c>
      <c r="BT50" s="23">
        <v>-5000</v>
      </c>
      <c r="BU50" s="24">
        <v>0</v>
      </c>
      <c r="BV50" s="23"/>
      <c r="BW50" s="22"/>
      <c r="BX50" s="23"/>
      <c r="BY50" s="23">
        <v>0</v>
      </c>
      <c r="BZ50" s="23">
        <v>0</v>
      </c>
      <c r="CA50" s="23">
        <v>0</v>
      </c>
      <c r="CB50" s="23">
        <v>0</v>
      </c>
      <c r="CC50" s="24">
        <v>0</v>
      </c>
      <c r="CD50" s="23"/>
      <c r="CE50" s="22">
        <v>30000</v>
      </c>
      <c r="CF50" s="23">
        <v>34390.69</v>
      </c>
      <c r="CG50" s="23">
        <v>4390.6900000000023</v>
      </c>
      <c r="CH50" s="23">
        <v>83500</v>
      </c>
      <c r="CI50" s="23">
        <v>98000</v>
      </c>
      <c r="CJ50" s="23">
        <v>68000</v>
      </c>
      <c r="CK50" s="24">
        <v>14500</v>
      </c>
      <c r="CM50" s="111">
        <v>2.2666666666666666</v>
      </c>
      <c r="CN50" s="114">
        <v>0.17365269461077845</v>
      </c>
      <c r="CO50" s="126"/>
      <c r="CP50" s="124">
        <v>98000</v>
      </c>
    </row>
    <row r="51" spans="2:94" x14ac:dyDescent="0.2">
      <c r="B51" s="8" t="s">
        <v>64</v>
      </c>
      <c r="C51" s="22">
        <v>30000</v>
      </c>
      <c r="D51" s="23">
        <v>20150.88</v>
      </c>
      <c r="E51" s="23">
        <v>-9849.119999999999</v>
      </c>
      <c r="F51" s="23">
        <v>30000</v>
      </c>
      <c r="G51" s="23">
        <v>30000</v>
      </c>
      <c r="H51" s="23">
        <v>0</v>
      </c>
      <c r="I51" s="24">
        <v>0</v>
      </c>
      <c r="J51" s="23"/>
      <c r="K51" s="22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4">
        <v>0</v>
      </c>
      <c r="R51" s="23"/>
      <c r="S51" s="22"/>
      <c r="T51" s="23"/>
      <c r="U51" s="23">
        <v>0</v>
      </c>
      <c r="V51" s="23">
        <v>0</v>
      </c>
      <c r="W51" s="23">
        <v>0</v>
      </c>
      <c r="X51" s="23">
        <v>0</v>
      </c>
      <c r="Y51" s="24">
        <v>0</v>
      </c>
      <c r="Z51" s="23"/>
      <c r="AA51" s="22"/>
      <c r="AB51" s="23"/>
      <c r="AC51" s="23">
        <v>0</v>
      </c>
      <c r="AD51" s="23"/>
      <c r="AE51" s="23">
        <v>0</v>
      </c>
      <c r="AF51" s="23">
        <v>0</v>
      </c>
      <c r="AG51" s="24">
        <v>0</v>
      </c>
      <c r="AH51" s="23"/>
      <c r="AI51" s="22"/>
      <c r="AJ51" s="23"/>
      <c r="AK51" s="23">
        <v>0</v>
      </c>
      <c r="AL51" s="23">
        <v>0</v>
      </c>
      <c r="AM51" s="23">
        <v>0</v>
      </c>
      <c r="AN51" s="23">
        <v>0</v>
      </c>
      <c r="AO51" s="24">
        <v>0</v>
      </c>
      <c r="AP51" s="23"/>
      <c r="AQ51" s="22"/>
      <c r="AR51" s="23"/>
      <c r="AS51" s="23">
        <v>0</v>
      </c>
      <c r="AT51" s="23">
        <v>0</v>
      </c>
      <c r="AU51" s="23">
        <v>0</v>
      </c>
      <c r="AV51" s="23">
        <v>0</v>
      </c>
      <c r="AW51" s="24">
        <v>0</v>
      </c>
      <c r="AX51" s="23"/>
      <c r="AY51" s="22"/>
      <c r="AZ51" s="23"/>
      <c r="BA51" s="23">
        <v>0</v>
      </c>
      <c r="BB51" s="23">
        <v>0</v>
      </c>
      <c r="BC51" s="23">
        <v>0</v>
      </c>
      <c r="BD51" s="23">
        <v>0</v>
      </c>
      <c r="BE51" s="24">
        <v>0</v>
      </c>
      <c r="BF51" s="23"/>
      <c r="BG51" s="22">
        <v>15000</v>
      </c>
      <c r="BH51" s="23">
        <v>8282.33</v>
      </c>
      <c r="BI51" s="23">
        <v>-6717.67</v>
      </c>
      <c r="BJ51" s="23">
        <v>15000</v>
      </c>
      <c r="BK51" s="23">
        <v>15000</v>
      </c>
      <c r="BL51" s="23">
        <v>0</v>
      </c>
      <c r="BM51" s="24">
        <v>0</v>
      </c>
      <c r="BN51" s="23"/>
      <c r="BO51" s="22">
        <v>10000</v>
      </c>
      <c r="BP51" s="23">
        <v>16293.12</v>
      </c>
      <c r="BQ51" s="23">
        <v>6293.1200000000008</v>
      </c>
      <c r="BR51" s="23">
        <v>34000</v>
      </c>
      <c r="BS51" s="23">
        <v>34000</v>
      </c>
      <c r="BT51" s="23">
        <v>24000</v>
      </c>
      <c r="BU51" s="24">
        <v>0</v>
      </c>
      <c r="BV51" s="23"/>
      <c r="BW51" s="22"/>
      <c r="BX51" s="23"/>
      <c r="BY51" s="23">
        <v>0</v>
      </c>
      <c r="BZ51" s="23">
        <v>7000</v>
      </c>
      <c r="CA51" s="23">
        <v>7000</v>
      </c>
      <c r="CB51" s="23">
        <v>7000</v>
      </c>
      <c r="CC51" s="24">
        <v>0</v>
      </c>
      <c r="CD51" s="23"/>
      <c r="CE51" s="22">
        <v>55000</v>
      </c>
      <c r="CF51" s="23">
        <v>44726.33</v>
      </c>
      <c r="CG51" s="23">
        <v>-10273.669999999998</v>
      </c>
      <c r="CH51" s="23">
        <v>86000</v>
      </c>
      <c r="CI51" s="23">
        <v>86000</v>
      </c>
      <c r="CJ51" s="23">
        <v>31000</v>
      </c>
      <c r="CK51" s="24">
        <v>0</v>
      </c>
      <c r="CM51" s="111">
        <v>0.5636363636363636</v>
      </c>
      <c r="CN51" s="114">
        <v>0</v>
      </c>
      <c r="CO51" s="126"/>
      <c r="CP51" s="124">
        <v>86000</v>
      </c>
    </row>
    <row r="52" spans="2:94" x14ac:dyDescent="0.2">
      <c r="B52" s="8" t="s">
        <v>35</v>
      </c>
      <c r="C52" s="22">
        <v>30000</v>
      </c>
      <c r="D52" s="23">
        <v>4443.8900000000003</v>
      </c>
      <c r="E52" s="23">
        <v>-25556.11</v>
      </c>
      <c r="F52" s="23">
        <v>30000</v>
      </c>
      <c r="G52" s="23">
        <v>30000</v>
      </c>
      <c r="H52" s="23">
        <v>0</v>
      </c>
      <c r="I52" s="24">
        <v>0</v>
      </c>
      <c r="J52" s="23"/>
      <c r="K52" s="22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4">
        <v>0</v>
      </c>
      <c r="R52" s="23"/>
      <c r="S52" s="22"/>
      <c r="T52" s="23"/>
      <c r="U52" s="23">
        <v>0</v>
      </c>
      <c r="V52" s="23">
        <v>0</v>
      </c>
      <c r="W52" s="23">
        <v>0</v>
      </c>
      <c r="X52" s="23">
        <v>0</v>
      </c>
      <c r="Y52" s="24">
        <v>0</v>
      </c>
      <c r="Z52" s="23"/>
      <c r="AA52" s="22"/>
      <c r="AB52" s="23"/>
      <c r="AC52" s="23">
        <v>0</v>
      </c>
      <c r="AD52" s="23"/>
      <c r="AE52" s="23">
        <v>0</v>
      </c>
      <c r="AF52" s="23">
        <v>0</v>
      </c>
      <c r="AG52" s="24">
        <v>0</v>
      </c>
      <c r="AH52" s="23"/>
      <c r="AI52" s="22"/>
      <c r="AJ52" s="23"/>
      <c r="AK52" s="23">
        <v>0</v>
      </c>
      <c r="AL52" s="23">
        <v>0</v>
      </c>
      <c r="AM52" s="23">
        <v>0</v>
      </c>
      <c r="AN52" s="23">
        <v>0</v>
      </c>
      <c r="AO52" s="24">
        <v>0</v>
      </c>
      <c r="AP52" s="23"/>
      <c r="AQ52" s="22"/>
      <c r="AR52" s="23"/>
      <c r="AS52" s="23">
        <v>0</v>
      </c>
      <c r="AT52" s="23">
        <v>0</v>
      </c>
      <c r="AU52" s="23">
        <v>0</v>
      </c>
      <c r="AV52" s="23">
        <v>0</v>
      </c>
      <c r="AW52" s="24">
        <v>0</v>
      </c>
      <c r="AX52" s="23"/>
      <c r="AY52" s="22"/>
      <c r="AZ52" s="23"/>
      <c r="BA52" s="23">
        <v>0</v>
      </c>
      <c r="BB52" s="23">
        <v>0</v>
      </c>
      <c r="BC52" s="23">
        <v>0</v>
      </c>
      <c r="BD52" s="23">
        <v>0</v>
      </c>
      <c r="BE52" s="24">
        <v>0</v>
      </c>
      <c r="BF52" s="23"/>
      <c r="BG52" s="22"/>
      <c r="BH52" s="23"/>
      <c r="BI52" s="23">
        <v>0</v>
      </c>
      <c r="BJ52" s="23">
        <v>0</v>
      </c>
      <c r="BK52" s="23">
        <v>0</v>
      </c>
      <c r="BL52" s="23">
        <v>0</v>
      </c>
      <c r="BM52" s="24">
        <v>0</v>
      </c>
      <c r="BN52" s="23"/>
      <c r="BO52" s="22"/>
      <c r="BP52" s="23"/>
      <c r="BQ52" s="23">
        <v>0</v>
      </c>
      <c r="BR52" s="23">
        <v>0</v>
      </c>
      <c r="BS52" s="23">
        <v>0</v>
      </c>
      <c r="BT52" s="23">
        <v>0</v>
      </c>
      <c r="BU52" s="24">
        <v>0</v>
      </c>
      <c r="BV52" s="23"/>
      <c r="BW52" s="22"/>
      <c r="BX52" s="23"/>
      <c r="BY52" s="23">
        <v>0</v>
      </c>
      <c r="BZ52" s="23">
        <v>0</v>
      </c>
      <c r="CA52" s="23">
        <v>0</v>
      </c>
      <c r="CB52" s="23">
        <v>0</v>
      </c>
      <c r="CC52" s="24">
        <v>0</v>
      </c>
      <c r="CD52" s="23"/>
      <c r="CE52" s="22">
        <v>30000</v>
      </c>
      <c r="CF52" s="23">
        <v>4443.8900000000003</v>
      </c>
      <c r="CG52" s="23">
        <v>-25556.11</v>
      </c>
      <c r="CH52" s="23">
        <v>30000</v>
      </c>
      <c r="CI52" s="23">
        <v>30000</v>
      </c>
      <c r="CJ52" s="23">
        <v>0</v>
      </c>
      <c r="CK52" s="24">
        <v>0</v>
      </c>
      <c r="CM52" s="111">
        <v>0</v>
      </c>
      <c r="CN52" s="114">
        <v>0</v>
      </c>
      <c r="CO52" s="126"/>
      <c r="CP52" s="124">
        <v>30000</v>
      </c>
    </row>
    <row r="53" spans="2:94" x14ac:dyDescent="0.2">
      <c r="B53" s="8" t="s">
        <v>65</v>
      </c>
      <c r="C53" s="22">
        <v>25000</v>
      </c>
      <c r="D53" s="23">
        <v>20616.669999999998</v>
      </c>
      <c r="E53" s="23">
        <v>-4383.3300000000017</v>
      </c>
      <c r="F53" s="23">
        <v>25000</v>
      </c>
      <c r="G53" s="23">
        <v>25000</v>
      </c>
      <c r="H53" s="23">
        <v>0</v>
      </c>
      <c r="I53" s="24">
        <v>0</v>
      </c>
      <c r="J53" s="23"/>
      <c r="K53" s="22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4">
        <v>0</v>
      </c>
      <c r="R53" s="23"/>
      <c r="S53" s="22"/>
      <c r="T53" s="23"/>
      <c r="U53" s="23">
        <v>0</v>
      </c>
      <c r="V53" s="23">
        <v>0</v>
      </c>
      <c r="W53" s="23">
        <v>0</v>
      </c>
      <c r="X53" s="23">
        <v>0</v>
      </c>
      <c r="Y53" s="24">
        <v>0</v>
      </c>
      <c r="Z53" s="23"/>
      <c r="AA53" s="22"/>
      <c r="AB53" s="23"/>
      <c r="AC53" s="23">
        <v>0</v>
      </c>
      <c r="AD53" s="23"/>
      <c r="AE53" s="23">
        <v>0</v>
      </c>
      <c r="AF53" s="23">
        <v>0</v>
      </c>
      <c r="AG53" s="24">
        <v>0</v>
      </c>
      <c r="AH53" s="23"/>
      <c r="AI53" s="22"/>
      <c r="AJ53" s="23"/>
      <c r="AK53" s="23">
        <v>0</v>
      </c>
      <c r="AL53" s="23">
        <v>0</v>
      </c>
      <c r="AM53" s="23">
        <v>0</v>
      </c>
      <c r="AN53" s="23">
        <v>0</v>
      </c>
      <c r="AO53" s="24">
        <v>0</v>
      </c>
      <c r="AP53" s="23"/>
      <c r="AQ53" s="22"/>
      <c r="AR53" s="23"/>
      <c r="AS53" s="23">
        <v>0</v>
      </c>
      <c r="AT53" s="23">
        <v>0</v>
      </c>
      <c r="AU53" s="23">
        <v>0</v>
      </c>
      <c r="AV53" s="23">
        <v>0</v>
      </c>
      <c r="AW53" s="24">
        <v>0</v>
      </c>
      <c r="AX53" s="23"/>
      <c r="AY53" s="22"/>
      <c r="AZ53" s="23"/>
      <c r="BA53" s="23">
        <v>0</v>
      </c>
      <c r="BB53" s="23">
        <v>0</v>
      </c>
      <c r="BC53" s="23">
        <v>0</v>
      </c>
      <c r="BD53" s="23">
        <v>0</v>
      </c>
      <c r="BE53" s="24">
        <v>0</v>
      </c>
      <c r="BF53" s="23"/>
      <c r="BG53" s="22"/>
      <c r="BH53" s="23"/>
      <c r="BI53" s="23">
        <v>0</v>
      </c>
      <c r="BJ53" s="23">
        <v>0</v>
      </c>
      <c r="BK53" s="23">
        <v>0</v>
      </c>
      <c r="BL53" s="23">
        <v>0</v>
      </c>
      <c r="BM53" s="24">
        <v>0</v>
      </c>
      <c r="BN53" s="23"/>
      <c r="BO53" s="22"/>
      <c r="BP53" s="23"/>
      <c r="BQ53" s="23">
        <v>0</v>
      </c>
      <c r="BR53" s="23">
        <v>0</v>
      </c>
      <c r="BS53" s="23">
        <v>0</v>
      </c>
      <c r="BT53" s="23">
        <v>0</v>
      </c>
      <c r="BU53" s="24">
        <v>0</v>
      </c>
      <c r="BV53" s="23"/>
      <c r="BW53" s="22"/>
      <c r="BX53" s="23"/>
      <c r="BY53" s="23">
        <v>0</v>
      </c>
      <c r="BZ53" s="23">
        <v>0</v>
      </c>
      <c r="CA53" s="23">
        <v>0</v>
      </c>
      <c r="CB53" s="23">
        <v>0</v>
      </c>
      <c r="CC53" s="24">
        <v>0</v>
      </c>
      <c r="CD53" s="23"/>
      <c r="CE53" s="22">
        <v>25000</v>
      </c>
      <c r="CF53" s="23">
        <v>20616.669999999998</v>
      </c>
      <c r="CG53" s="23">
        <v>-4383.3300000000017</v>
      </c>
      <c r="CH53" s="23">
        <v>25000</v>
      </c>
      <c r="CI53" s="23">
        <v>25000</v>
      </c>
      <c r="CJ53" s="23">
        <v>0</v>
      </c>
      <c r="CK53" s="24">
        <v>0</v>
      </c>
      <c r="CM53" s="111">
        <v>0</v>
      </c>
      <c r="CN53" s="114">
        <v>0</v>
      </c>
      <c r="CO53" s="126"/>
      <c r="CP53" s="124">
        <v>25000</v>
      </c>
    </row>
    <row r="54" spans="2:94" x14ac:dyDescent="0.2">
      <c r="B54" s="8" t="s">
        <v>66</v>
      </c>
      <c r="C54" s="22"/>
      <c r="D54" s="23"/>
      <c r="E54" s="23">
        <v>0</v>
      </c>
      <c r="F54" s="23">
        <v>0</v>
      </c>
      <c r="G54" s="23">
        <v>0</v>
      </c>
      <c r="H54" s="23">
        <v>0</v>
      </c>
      <c r="I54" s="24">
        <v>0</v>
      </c>
      <c r="J54" s="23"/>
      <c r="K54" s="22">
        <v>0</v>
      </c>
      <c r="L54" s="23">
        <v>0</v>
      </c>
      <c r="M54" s="23">
        <v>0</v>
      </c>
      <c r="N54" s="23">
        <v>50000</v>
      </c>
      <c r="O54" s="23">
        <v>0</v>
      </c>
      <c r="P54" s="23">
        <v>0</v>
      </c>
      <c r="Q54" s="24">
        <v>-50000</v>
      </c>
      <c r="R54" s="23"/>
      <c r="S54" s="22"/>
      <c r="T54" s="23"/>
      <c r="U54" s="23">
        <v>0</v>
      </c>
      <c r="V54" s="23">
        <v>0</v>
      </c>
      <c r="W54" s="23">
        <v>0</v>
      </c>
      <c r="X54" s="23">
        <v>0</v>
      </c>
      <c r="Y54" s="24">
        <v>0</v>
      </c>
      <c r="Z54" s="23"/>
      <c r="AA54" s="22"/>
      <c r="AB54" s="23"/>
      <c r="AC54" s="23">
        <v>0</v>
      </c>
      <c r="AD54" s="23"/>
      <c r="AE54" s="23">
        <v>0</v>
      </c>
      <c r="AF54" s="23">
        <v>0</v>
      </c>
      <c r="AG54" s="24">
        <v>0</v>
      </c>
      <c r="AH54" s="23"/>
      <c r="AI54" s="22"/>
      <c r="AJ54" s="23"/>
      <c r="AK54" s="23">
        <v>0</v>
      </c>
      <c r="AL54" s="23">
        <v>0</v>
      </c>
      <c r="AM54" s="23">
        <v>0</v>
      </c>
      <c r="AN54" s="23">
        <v>0</v>
      </c>
      <c r="AO54" s="24">
        <v>0</v>
      </c>
      <c r="AP54" s="23"/>
      <c r="AQ54" s="22"/>
      <c r="AR54" s="23"/>
      <c r="AS54" s="23">
        <v>0</v>
      </c>
      <c r="AT54" s="23">
        <v>0</v>
      </c>
      <c r="AU54" s="23">
        <v>0</v>
      </c>
      <c r="AV54" s="23">
        <v>0</v>
      </c>
      <c r="AW54" s="24">
        <v>0</v>
      </c>
      <c r="AX54" s="23"/>
      <c r="AY54" s="22"/>
      <c r="AZ54" s="23"/>
      <c r="BA54" s="23">
        <v>0</v>
      </c>
      <c r="BB54" s="23">
        <v>0</v>
      </c>
      <c r="BC54" s="23">
        <v>0</v>
      </c>
      <c r="BD54" s="23">
        <v>0</v>
      </c>
      <c r="BE54" s="24">
        <v>0</v>
      </c>
      <c r="BF54" s="23"/>
      <c r="BG54" s="22"/>
      <c r="BH54" s="23"/>
      <c r="BI54" s="23">
        <v>0</v>
      </c>
      <c r="BJ54" s="23">
        <v>0</v>
      </c>
      <c r="BK54" s="23">
        <v>0</v>
      </c>
      <c r="BL54" s="23">
        <v>0</v>
      </c>
      <c r="BM54" s="24">
        <v>0</v>
      </c>
      <c r="BN54" s="23"/>
      <c r="BO54" s="22"/>
      <c r="BP54" s="23"/>
      <c r="BQ54" s="23">
        <v>0</v>
      </c>
      <c r="BR54" s="23">
        <v>0</v>
      </c>
      <c r="BS54" s="23">
        <v>0</v>
      </c>
      <c r="BT54" s="23">
        <v>0</v>
      </c>
      <c r="BU54" s="24">
        <v>0</v>
      </c>
      <c r="BV54" s="23"/>
      <c r="BW54" s="22"/>
      <c r="BX54" s="23"/>
      <c r="BY54" s="23">
        <v>0</v>
      </c>
      <c r="BZ54" s="23">
        <v>0</v>
      </c>
      <c r="CA54" s="23">
        <v>0</v>
      </c>
      <c r="CB54" s="23">
        <v>0</v>
      </c>
      <c r="CC54" s="24">
        <v>0</v>
      </c>
      <c r="CD54" s="23"/>
      <c r="CE54" s="22">
        <v>0</v>
      </c>
      <c r="CF54" s="23">
        <v>0</v>
      </c>
      <c r="CG54" s="23">
        <v>0</v>
      </c>
      <c r="CH54" s="23">
        <v>50000</v>
      </c>
      <c r="CI54" s="23">
        <v>0</v>
      </c>
      <c r="CJ54" s="23">
        <v>0</v>
      </c>
      <c r="CK54" s="24">
        <v>-50000</v>
      </c>
      <c r="CM54" s="111">
        <v>0</v>
      </c>
      <c r="CN54" s="114">
        <v>-1</v>
      </c>
      <c r="CO54" s="126"/>
      <c r="CP54" s="124">
        <v>0</v>
      </c>
    </row>
    <row r="55" spans="2:94" x14ac:dyDescent="0.2">
      <c r="B55" s="8" t="s">
        <v>146</v>
      </c>
      <c r="C55" s="22">
        <v>20000</v>
      </c>
      <c r="D55" s="23">
        <v>401.46</v>
      </c>
      <c r="E55" s="23">
        <v>-19598.54</v>
      </c>
      <c r="F55" s="23"/>
      <c r="G55" s="23"/>
      <c r="H55" s="23">
        <v>-20000</v>
      </c>
      <c r="I55" s="24">
        <v>0</v>
      </c>
      <c r="J55" s="23"/>
      <c r="K55" s="22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4">
        <v>0</v>
      </c>
      <c r="R55" s="23"/>
      <c r="S55" s="22"/>
      <c r="T55" s="23"/>
      <c r="U55" s="23"/>
      <c r="V55" s="23"/>
      <c r="W55" s="23"/>
      <c r="X55" s="23"/>
      <c r="Y55" s="24"/>
      <c r="Z55" s="23"/>
      <c r="AA55" s="22"/>
      <c r="AB55" s="23"/>
      <c r="AC55" s="23"/>
      <c r="AD55" s="23"/>
      <c r="AE55" s="23"/>
      <c r="AF55" s="23"/>
      <c r="AG55" s="24"/>
      <c r="AH55" s="23"/>
      <c r="AI55" s="22"/>
      <c r="AJ55" s="23"/>
      <c r="AK55" s="23"/>
      <c r="AL55" s="23"/>
      <c r="AM55" s="23"/>
      <c r="AN55" s="23"/>
      <c r="AO55" s="24"/>
      <c r="AP55" s="23"/>
      <c r="AQ55" s="22"/>
      <c r="AR55" s="23"/>
      <c r="AS55" s="23"/>
      <c r="AT55" s="23"/>
      <c r="AU55" s="23"/>
      <c r="AV55" s="23"/>
      <c r="AW55" s="24"/>
      <c r="AX55" s="23"/>
      <c r="AY55" s="22"/>
      <c r="AZ55" s="23"/>
      <c r="BA55" s="23"/>
      <c r="BB55" s="23"/>
      <c r="BC55" s="23"/>
      <c r="BD55" s="23"/>
      <c r="BE55" s="24"/>
      <c r="BF55" s="23"/>
      <c r="BG55" s="22"/>
      <c r="BH55" s="23"/>
      <c r="BI55" s="23"/>
      <c r="BJ55" s="23"/>
      <c r="BK55" s="23"/>
      <c r="BL55" s="23"/>
      <c r="BM55" s="24"/>
      <c r="BN55" s="23"/>
      <c r="BO55" s="22"/>
      <c r="BP55" s="23"/>
      <c r="BQ55" s="23"/>
      <c r="BR55" s="23"/>
      <c r="BS55" s="23"/>
      <c r="BT55" s="23"/>
      <c r="BU55" s="24"/>
      <c r="BV55" s="23"/>
      <c r="BW55" s="22"/>
      <c r="BX55" s="23"/>
      <c r="BY55" s="23"/>
      <c r="BZ55" s="23"/>
      <c r="CA55" s="23"/>
      <c r="CB55" s="23"/>
      <c r="CC55" s="24"/>
      <c r="CD55" s="23"/>
      <c r="CE55" s="22">
        <v>20000</v>
      </c>
      <c r="CF55" s="23">
        <v>401.46</v>
      </c>
      <c r="CG55" s="23">
        <v>-19598.54</v>
      </c>
      <c r="CH55" s="23">
        <v>0</v>
      </c>
      <c r="CI55" s="23">
        <v>0</v>
      </c>
      <c r="CJ55" s="23">
        <v>-20000</v>
      </c>
      <c r="CK55" s="24">
        <v>0</v>
      </c>
      <c r="CM55" s="111">
        <v>-1</v>
      </c>
      <c r="CN55" s="114">
        <v>0</v>
      </c>
      <c r="CO55" s="126"/>
      <c r="CP55" s="124">
        <v>0</v>
      </c>
    </row>
    <row r="56" spans="2:94" x14ac:dyDescent="0.2">
      <c r="B56" s="8" t="s">
        <v>63</v>
      </c>
      <c r="C56" s="22">
        <v>24000</v>
      </c>
      <c r="D56" s="23">
        <v>23768.639999999999</v>
      </c>
      <c r="E56" s="23">
        <v>-231.36000000000058</v>
      </c>
      <c r="F56" s="23">
        <v>12000</v>
      </c>
      <c r="G56" s="23">
        <v>24000</v>
      </c>
      <c r="H56" s="23">
        <v>0</v>
      </c>
      <c r="I56" s="24">
        <v>12000</v>
      </c>
      <c r="J56" s="23"/>
      <c r="K56" s="22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4">
        <v>0</v>
      </c>
      <c r="R56" s="23"/>
      <c r="S56" s="22">
        <v>12835</v>
      </c>
      <c r="T56" s="23">
        <v>15504.49</v>
      </c>
      <c r="U56" s="23">
        <v>2669.49</v>
      </c>
      <c r="V56" s="23">
        <v>7000</v>
      </c>
      <c r="W56" s="23">
        <v>7000</v>
      </c>
      <c r="X56" s="23">
        <v>-5835</v>
      </c>
      <c r="Y56" s="24">
        <v>0</v>
      </c>
      <c r="Z56" s="23"/>
      <c r="AA56" s="22">
        <v>2250</v>
      </c>
      <c r="AB56" s="23">
        <v>808</v>
      </c>
      <c r="AC56" s="23">
        <v>-1442</v>
      </c>
      <c r="AD56" s="23">
        <v>500</v>
      </c>
      <c r="AE56" s="23">
        <v>2000</v>
      </c>
      <c r="AF56" s="23">
        <v>1192</v>
      </c>
      <c r="AG56" s="24">
        <v>1500</v>
      </c>
      <c r="AH56" s="23"/>
      <c r="AI56" s="22">
        <v>130</v>
      </c>
      <c r="AJ56" s="23">
        <v>100</v>
      </c>
      <c r="AK56" s="23">
        <v>-30</v>
      </c>
      <c r="AL56" s="23">
        <v>1500</v>
      </c>
      <c r="AM56" s="23">
        <v>2000</v>
      </c>
      <c r="AN56" s="23">
        <v>1870</v>
      </c>
      <c r="AO56" s="24">
        <v>500</v>
      </c>
      <c r="AP56" s="23"/>
      <c r="AQ56" s="22"/>
      <c r="AR56" s="23"/>
      <c r="AS56" s="23">
        <v>0</v>
      </c>
      <c r="AT56" s="23">
        <v>0</v>
      </c>
      <c r="AU56" s="23">
        <v>6000</v>
      </c>
      <c r="AV56" s="23">
        <v>6000</v>
      </c>
      <c r="AW56" s="24">
        <v>6000</v>
      </c>
      <c r="AX56" s="23"/>
      <c r="AY56" s="22"/>
      <c r="AZ56" s="23">
        <v>50.5</v>
      </c>
      <c r="BA56" s="23">
        <v>50.5</v>
      </c>
      <c r="BB56" s="23">
        <v>6000</v>
      </c>
      <c r="BC56" s="23">
        <v>18800</v>
      </c>
      <c r="BD56" s="23">
        <v>18800</v>
      </c>
      <c r="BE56" s="24">
        <v>12800</v>
      </c>
      <c r="BF56" s="23"/>
      <c r="BG56" s="22">
        <v>1197</v>
      </c>
      <c r="BH56" s="23">
        <v>998.45</v>
      </c>
      <c r="BI56" s="23">
        <v>-198.54999999999995</v>
      </c>
      <c r="BJ56" s="23">
        <v>1000</v>
      </c>
      <c r="BK56" s="23">
        <v>3000</v>
      </c>
      <c r="BL56" s="23">
        <v>1803</v>
      </c>
      <c r="BM56" s="24">
        <v>2000</v>
      </c>
      <c r="BN56" s="23"/>
      <c r="BO56" s="22">
        <v>1350</v>
      </c>
      <c r="BP56" s="23">
        <v>3959.87</v>
      </c>
      <c r="BQ56" s="23">
        <v>2609.87</v>
      </c>
      <c r="BR56" s="23">
        <v>11350</v>
      </c>
      <c r="BS56" s="23">
        <v>6350</v>
      </c>
      <c r="BT56" s="23">
        <v>5000</v>
      </c>
      <c r="BU56" s="24">
        <v>-5000</v>
      </c>
      <c r="BV56" s="23"/>
      <c r="BW56" s="22">
        <v>2400</v>
      </c>
      <c r="BX56" s="23">
        <v>1769.8600000000001</v>
      </c>
      <c r="BY56" s="23">
        <v>-630.13999999999987</v>
      </c>
      <c r="BZ56" s="23">
        <v>5500</v>
      </c>
      <c r="CA56" s="23">
        <v>5500</v>
      </c>
      <c r="CB56" s="23">
        <v>3100</v>
      </c>
      <c r="CC56" s="24">
        <v>0</v>
      </c>
      <c r="CD56" s="23"/>
      <c r="CE56" s="22">
        <v>44162</v>
      </c>
      <c r="CF56" s="23">
        <v>46959.81</v>
      </c>
      <c r="CG56" s="23">
        <v>2797.8099999999977</v>
      </c>
      <c r="CH56" s="23">
        <v>44850</v>
      </c>
      <c r="CI56" s="139">
        <v>74650</v>
      </c>
      <c r="CJ56" s="23">
        <v>30488</v>
      </c>
      <c r="CK56" s="24">
        <v>29800</v>
      </c>
      <c r="CM56" s="112">
        <v>0.6903672840903945</v>
      </c>
      <c r="CN56" s="120">
        <v>0.66443701226309926</v>
      </c>
      <c r="CO56" s="126">
        <v>0</v>
      </c>
      <c r="CP56" s="124">
        <v>74650</v>
      </c>
    </row>
    <row r="57" spans="2:94" x14ac:dyDescent="0.2">
      <c r="B57" s="8"/>
      <c r="C57" s="10">
        <v>141665</v>
      </c>
      <c r="D57" s="10">
        <v>87384.56</v>
      </c>
      <c r="E57" s="10">
        <v>-54280.44</v>
      </c>
      <c r="F57" s="10">
        <v>179594</v>
      </c>
      <c r="G57" s="10">
        <v>201838.59</v>
      </c>
      <c r="H57" s="10">
        <v>60173.59</v>
      </c>
      <c r="I57" s="25">
        <v>22244.589999999997</v>
      </c>
      <c r="J57" s="23"/>
      <c r="K57" s="10">
        <v>0</v>
      </c>
      <c r="L57" s="10">
        <v>0</v>
      </c>
      <c r="M57" s="10">
        <v>0</v>
      </c>
      <c r="N57" s="10">
        <v>50000</v>
      </c>
      <c r="O57" s="10">
        <v>15600</v>
      </c>
      <c r="P57" s="10">
        <v>15600</v>
      </c>
      <c r="Q57" s="25">
        <v>-34400</v>
      </c>
      <c r="R57" s="23"/>
      <c r="S57" s="10">
        <v>309248</v>
      </c>
      <c r="T57" s="10">
        <v>249286.75999999995</v>
      </c>
      <c r="U57" s="10">
        <v>-59961.240000000005</v>
      </c>
      <c r="V57" s="10">
        <v>377800</v>
      </c>
      <c r="W57" s="10">
        <v>281170.7</v>
      </c>
      <c r="X57" s="10">
        <v>-28077.299999999988</v>
      </c>
      <c r="Y57" s="25">
        <v>-96629.299999999988</v>
      </c>
      <c r="Z57" s="23"/>
      <c r="AA57" s="10">
        <v>311655</v>
      </c>
      <c r="AB57" s="10">
        <v>279376.60000000003</v>
      </c>
      <c r="AC57" s="10">
        <v>-32278.400000000009</v>
      </c>
      <c r="AD57" s="10">
        <v>382905</v>
      </c>
      <c r="AE57" s="10">
        <v>327346</v>
      </c>
      <c r="AF57" s="10">
        <v>47969.400000000016</v>
      </c>
      <c r="AG57" s="25">
        <v>-55559</v>
      </c>
      <c r="AH57" s="23"/>
      <c r="AI57" s="10">
        <v>99498</v>
      </c>
      <c r="AJ57" s="10">
        <v>104643.60999999999</v>
      </c>
      <c r="AK57" s="10">
        <v>5145.6100000000024</v>
      </c>
      <c r="AL57" s="10">
        <v>135740</v>
      </c>
      <c r="AM57" s="10">
        <v>120500</v>
      </c>
      <c r="AN57" s="10">
        <v>21002</v>
      </c>
      <c r="AO57" s="25">
        <v>-15240</v>
      </c>
      <c r="AP57" s="23"/>
      <c r="AQ57" s="10">
        <v>143153</v>
      </c>
      <c r="AR57" s="10">
        <v>110046</v>
      </c>
      <c r="AS57" s="10">
        <v>-33107</v>
      </c>
      <c r="AT57" s="10">
        <v>128390</v>
      </c>
      <c r="AU57" s="10">
        <v>133087</v>
      </c>
      <c r="AV57" s="10">
        <v>-10066</v>
      </c>
      <c r="AW57" s="25">
        <v>4697</v>
      </c>
      <c r="AX57" s="23"/>
      <c r="AY57" s="10">
        <v>422240</v>
      </c>
      <c r="AZ57" s="10">
        <v>435201.07</v>
      </c>
      <c r="BA57" s="10">
        <v>12961.07</v>
      </c>
      <c r="BB57" s="10">
        <v>431159</v>
      </c>
      <c r="BC57" s="10">
        <v>503630</v>
      </c>
      <c r="BD57" s="10">
        <v>81390</v>
      </c>
      <c r="BE57" s="25">
        <v>72471</v>
      </c>
      <c r="BF57" s="23"/>
      <c r="BG57" s="10">
        <v>104144</v>
      </c>
      <c r="BH57" s="10">
        <v>131119.01</v>
      </c>
      <c r="BI57" s="10">
        <v>26975.01</v>
      </c>
      <c r="BJ57" s="10">
        <v>174771</v>
      </c>
      <c r="BK57" s="10">
        <v>198800</v>
      </c>
      <c r="BL57" s="10">
        <v>94656</v>
      </c>
      <c r="BM57" s="25">
        <v>24029</v>
      </c>
      <c r="BN57" s="23"/>
      <c r="BO57" s="10">
        <v>998815</v>
      </c>
      <c r="BP57" s="10">
        <v>891817.44000000006</v>
      </c>
      <c r="BQ57" s="10">
        <v>-106997.56</v>
      </c>
      <c r="BR57" s="10">
        <v>1019150</v>
      </c>
      <c r="BS57" s="10">
        <v>927650</v>
      </c>
      <c r="BT57" s="10">
        <v>-71165</v>
      </c>
      <c r="BU57" s="25">
        <v>-91500</v>
      </c>
      <c r="BV57" s="23"/>
      <c r="BW57" s="10">
        <v>183575</v>
      </c>
      <c r="BX57" s="10">
        <v>224291.11</v>
      </c>
      <c r="BY57" s="10">
        <v>40716.110000000015</v>
      </c>
      <c r="BZ57" s="10">
        <v>234045</v>
      </c>
      <c r="CA57" s="10">
        <v>405357</v>
      </c>
      <c r="CB57" s="10">
        <v>221782</v>
      </c>
      <c r="CC57" s="25">
        <v>171312</v>
      </c>
      <c r="CD57" s="23"/>
      <c r="CE57" s="10">
        <v>2713993</v>
      </c>
      <c r="CF57" s="10">
        <v>2513166.16</v>
      </c>
      <c r="CG57" s="10">
        <v>-200826.84</v>
      </c>
      <c r="CH57" s="10">
        <v>3113554</v>
      </c>
      <c r="CI57" s="10">
        <v>3114979.29</v>
      </c>
      <c r="CJ57" s="10">
        <v>400986.28999999992</v>
      </c>
      <c r="CK57" s="25">
        <v>1425.2899999999499</v>
      </c>
      <c r="CM57" s="110">
        <v>0.14774772447828713</v>
      </c>
      <c r="CN57" s="116">
        <v>4.577694814350257E-4</v>
      </c>
      <c r="CO57" s="131">
        <v>0</v>
      </c>
      <c r="CP57" s="127">
        <v>3114979.29</v>
      </c>
    </row>
    <row r="58" spans="2:94" ht="5.25" customHeight="1" x14ac:dyDescent="0.2">
      <c r="B58" s="8"/>
      <c r="C58" s="26"/>
      <c r="D58" s="27"/>
      <c r="E58" s="27"/>
      <c r="F58" s="27"/>
      <c r="G58" s="27"/>
      <c r="H58" s="27"/>
      <c r="I58" s="28"/>
      <c r="J58" s="27"/>
      <c r="K58" s="26"/>
      <c r="L58" s="27"/>
      <c r="M58" s="27"/>
      <c r="N58" s="27"/>
      <c r="O58" s="27"/>
      <c r="P58" s="27"/>
      <c r="Q58" s="28"/>
      <c r="R58" s="27"/>
      <c r="S58" s="26"/>
      <c r="T58" s="27"/>
      <c r="U58" s="27"/>
      <c r="V58" s="27"/>
      <c r="W58" s="27"/>
      <c r="X58" s="27"/>
      <c r="Y58" s="28"/>
      <c r="Z58" s="27"/>
      <c r="AA58" s="26"/>
      <c r="AB58" s="27"/>
      <c r="AC58" s="27"/>
      <c r="AD58" s="27"/>
      <c r="AE58" s="27"/>
      <c r="AF58" s="27"/>
      <c r="AG58" s="28"/>
      <c r="AH58" s="27"/>
      <c r="AI58" s="26"/>
      <c r="AJ58" s="27"/>
      <c r="AK58" s="27"/>
      <c r="AL58" s="27"/>
      <c r="AM58" s="27"/>
      <c r="AN58" s="27"/>
      <c r="AO58" s="28"/>
      <c r="AP58" s="27"/>
      <c r="AQ58" s="26"/>
      <c r="AR58" s="27"/>
      <c r="AS58" s="27"/>
      <c r="AT58" s="27"/>
      <c r="AU58" s="27"/>
      <c r="AV58" s="27"/>
      <c r="AW58" s="28"/>
      <c r="AX58" s="27"/>
      <c r="AY58" s="26"/>
      <c r="AZ58" s="27"/>
      <c r="BA58" s="27"/>
      <c r="BB58" s="27"/>
      <c r="BC58" s="27"/>
      <c r="BD58" s="27"/>
      <c r="BE58" s="28"/>
      <c r="BF58" s="27"/>
      <c r="BG58" s="26"/>
      <c r="BH58" s="27"/>
      <c r="BI58" s="27"/>
      <c r="BJ58" s="27"/>
      <c r="BK58" s="27"/>
      <c r="BL58" s="27"/>
      <c r="BM58" s="28"/>
      <c r="BN58" s="27"/>
      <c r="BO58" s="26"/>
      <c r="BP58" s="27"/>
      <c r="BQ58" s="27"/>
      <c r="BR58" s="27"/>
      <c r="BS58" s="27"/>
      <c r="BT58" s="27"/>
      <c r="BU58" s="28"/>
      <c r="BV58" s="27"/>
      <c r="BW58" s="26"/>
      <c r="BX58" s="27"/>
      <c r="BY58" s="27"/>
      <c r="BZ58" s="27"/>
      <c r="CA58" s="27"/>
      <c r="CB58" s="27"/>
      <c r="CC58" s="28"/>
      <c r="CD58" s="27"/>
      <c r="CE58" s="26"/>
      <c r="CF58" s="27"/>
      <c r="CG58" s="27"/>
      <c r="CH58" s="27"/>
      <c r="CI58" s="27"/>
      <c r="CJ58" s="27"/>
      <c r="CK58" s="28"/>
      <c r="CM58" s="111"/>
      <c r="CN58" s="117"/>
      <c r="CO58" s="126"/>
      <c r="CP58" s="129"/>
    </row>
    <row r="59" spans="2:94" x14ac:dyDescent="0.2">
      <c r="B59" s="8" t="s">
        <v>75</v>
      </c>
      <c r="C59" s="22"/>
      <c r="D59" s="23"/>
      <c r="E59" s="23">
        <v>0</v>
      </c>
      <c r="F59" s="23">
        <v>0</v>
      </c>
      <c r="G59" s="23">
        <v>0</v>
      </c>
      <c r="H59" s="23">
        <v>0</v>
      </c>
      <c r="I59" s="24">
        <v>0</v>
      </c>
      <c r="J59" s="23"/>
      <c r="K59" s="22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4">
        <v>0</v>
      </c>
      <c r="R59" s="23"/>
      <c r="S59" s="22"/>
      <c r="T59" s="23">
        <v>4500</v>
      </c>
      <c r="U59" s="23">
        <v>4500</v>
      </c>
      <c r="V59" s="23">
        <v>19450</v>
      </c>
      <c r="W59" s="23">
        <v>10000</v>
      </c>
      <c r="X59" s="23">
        <v>10000</v>
      </c>
      <c r="Y59" s="24">
        <v>-9450</v>
      </c>
      <c r="Z59" s="23"/>
      <c r="AA59" s="22">
        <v>3627</v>
      </c>
      <c r="AB59" s="23">
        <v>1992.39</v>
      </c>
      <c r="AC59" s="23">
        <v>-1634.61</v>
      </c>
      <c r="AD59" s="23">
        <v>2500</v>
      </c>
      <c r="AE59" s="23">
        <v>8600</v>
      </c>
      <c r="AF59" s="23">
        <v>6607.61</v>
      </c>
      <c r="AG59" s="24">
        <v>6100</v>
      </c>
      <c r="AH59" s="23"/>
      <c r="AI59" s="22"/>
      <c r="AJ59" s="23"/>
      <c r="AK59" s="23">
        <v>0</v>
      </c>
      <c r="AL59" s="23">
        <v>0</v>
      </c>
      <c r="AM59" s="23">
        <v>5500</v>
      </c>
      <c r="AN59" s="23">
        <v>5500</v>
      </c>
      <c r="AO59" s="24">
        <v>5500</v>
      </c>
      <c r="AP59" s="23"/>
      <c r="AQ59" s="22"/>
      <c r="AR59" s="23"/>
      <c r="AS59" s="23">
        <v>0</v>
      </c>
      <c r="AT59" s="23">
        <v>20000</v>
      </c>
      <c r="AU59" s="23">
        <v>0</v>
      </c>
      <c r="AV59" s="23">
        <v>0</v>
      </c>
      <c r="AW59" s="24">
        <v>-20000</v>
      </c>
      <c r="AX59" s="23"/>
      <c r="AY59" s="22">
        <v>30000</v>
      </c>
      <c r="AZ59" s="23">
        <v>27516.54</v>
      </c>
      <c r="BA59" s="23">
        <v>-2483.4599999999991</v>
      </c>
      <c r="BB59" s="23">
        <v>1000</v>
      </c>
      <c r="BC59" s="23">
        <v>0</v>
      </c>
      <c r="BD59" s="23">
        <v>-30000</v>
      </c>
      <c r="BE59" s="24">
        <v>-1000</v>
      </c>
      <c r="BF59" s="23"/>
      <c r="BG59" s="22">
        <v>3505</v>
      </c>
      <c r="BH59" s="23">
        <v>9148.43</v>
      </c>
      <c r="BI59" s="23">
        <v>5643.43</v>
      </c>
      <c r="BJ59" s="23">
        <v>27000</v>
      </c>
      <c r="BK59" s="23">
        <v>21500</v>
      </c>
      <c r="BL59" s="23">
        <v>17995</v>
      </c>
      <c r="BM59" s="24">
        <v>-5500</v>
      </c>
      <c r="BN59" s="23"/>
      <c r="BO59" s="22"/>
      <c r="BP59" s="23">
        <v>10805.76</v>
      </c>
      <c r="BQ59" s="23">
        <v>10805.76</v>
      </c>
      <c r="BR59" s="23">
        <v>49000</v>
      </c>
      <c r="BS59" s="23">
        <v>0</v>
      </c>
      <c r="BT59" s="23">
        <v>0</v>
      </c>
      <c r="BU59" s="24">
        <v>-49000</v>
      </c>
      <c r="BV59" s="23"/>
      <c r="BW59" s="22"/>
      <c r="BX59" s="23">
        <v>2294.1400000000003</v>
      </c>
      <c r="BY59" s="23">
        <v>2294.1400000000003</v>
      </c>
      <c r="BZ59" s="23">
        <v>3000</v>
      </c>
      <c r="CA59" s="23">
        <v>16000</v>
      </c>
      <c r="CB59" s="23">
        <v>16000</v>
      </c>
      <c r="CC59" s="24">
        <v>13000</v>
      </c>
      <c r="CD59" s="23"/>
      <c r="CE59" s="22">
        <v>37132</v>
      </c>
      <c r="CF59" s="23">
        <v>56257.26</v>
      </c>
      <c r="CG59" s="23">
        <v>19125.260000000002</v>
      </c>
      <c r="CH59" s="23">
        <v>121950</v>
      </c>
      <c r="CI59" s="23">
        <v>61600</v>
      </c>
      <c r="CJ59" s="23">
        <v>24468</v>
      </c>
      <c r="CK59" s="24">
        <v>-60350</v>
      </c>
      <c r="CM59" s="111">
        <v>0.65894646127329526</v>
      </c>
      <c r="CN59" s="114">
        <v>-0.49487494874948751</v>
      </c>
      <c r="CO59" s="126"/>
      <c r="CP59" s="124">
        <v>61600</v>
      </c>
    </row>
    <row r="60" spans="2:94" x14ac:dyDescent="0.2">
      <c r="B60" s="8" t="s">
        <v>83</v>
      </c>
      <c r="C60" s="22"/>
      <c r="D60" s="23"/>
      <c r="E60" s="23">
        <v>0</v>
      </c>
      <c r="F60" s="23">
        <v>0</v>
      </c>
      <c r="G60" s="23">
        <v>0</v>
      </c>
      <c r="H60" s="23">
        <v>0</v>
      </c>
      <c r="I60" s="24">
        <v>0</v>
      </c>
      <c r="J60" s="23"/>
      <c r="K60" s="22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4">
        <v>0</v>
      </c>
      <c r="R60" s="23"/>
      <c r="S60" s="22"/>
      <c r="T60" s="23"/>
      <c r="U60" s="23">
        <v>0</v>
      </c>
      <c r="V60" s="23">
        <v>0</v>
      </c>
      <c r="W60" s="23">
        <v>0</v>
      </c>
      <c r="X60" s="23">
        <v>0</v>
      </c>
      <c r="Y60" s="24">
        <v>0</v>
      </c>
      <c r="Z60" s="23"/>
      <c r="AA60" s="22"/>
      <c r="AB60" s="23"/>
      <c r="AC60" s="23">
        <v>0</v>
      </c>
      <c r="AD60" s="23"/>
      <c r="AE60" s="23">
        <v>0</v>
      </c>
      <c r="AF60" s="23">
        <v>0</v>
      </c>
      <c r="AG60" s="24">
        <v>0</v>
      </c>
      <c r="AH60" s="23"/>
      <c r="AI60" s="22"/>
      <c r="AJ60" s="23"/>
      <c r="AK60" s="23">
        <v>0</v>
      </c>
      <c r="AL60" s="23"/>
      <c r="AM60" s="23">
        <v>0</v>
      </c>
      <c r="AN60" s="23">
        <v>0</v>
      </c>
      <c r="AO60" s="24">
        <v>0</v>
      </c>
      <c r="AP60" s="23"/>
      <c r="AQ60" s="22"/>
      <c r="AR60" s="23"/>
      <c r="AS60" s="23">
        <v>0</v>
      </c>
      <c r="AT60" s="23">
        <v>0</v>
      </c>
      <c r="AU60" s="23">
        <v>0</v>
      </c>
      <c r="AV60" s="23">
        <v>0</v>
      </c>
      <c r="AW60" s="24">
        <v>0</v>
      </c>
      <c r="AX60" s="23"/>
      <c r="AY60" s="22"/>
      <c r="AZ60" s="23"/>
      <c r="BA60" s="23">
        <v>0</v>
      </c>
      <c r="BB60" s="23">
        <v>0</v>
      </c>
      <c r="BC60" s="23">
        <v>0</v>
      </c>
      <c r="BD60" s="23">
        <v>0</v>
      </c>
      <c r="BE60" s="24">
        <v>0</v>
      </c>
      <c r="BF60" s="23"/>
      <c r="BG60" s="22"/>
      <c r="BH60" s="23"/>
      <c r="BI60" s="23">
        <v>0</v>
      </c>
      <c r="BJ60" s="23">
        <v>0</v>
      </c>
      <c r="BK60" s="23">
        <v>0</v>
      </c>
      <c r="BL60" s="23">
        <v>0</v>
      </c>
      <c r="BM60" s="24">
        <v>0</v>
      </c>
      <c r="BN60" s="23"/>
      <c r="BO60" s="22"/>
      <c r="BP60" s="23">
        <v>61507.7</v>
      </c>
      <c r="BQ60" s="23">
        <v>61507.7</v>
      </c>
      <c r="BR60" s="23">
        <v>0</v>
      </c>
      <c r="BS60" s="23">
        <v>46000</v>
      </c>
      <c r="BT60" s="23">
        <v>46000</v>
      </c>
      <c r="BU60" s="24">
        <v>46000</v>
      </c>
      <c r="BV60" s="23"/>
      <c r="BW60" s="22"/>
      <c r="BX60" s="23"/>
      <c r="BY60" s="23">
        <v>0</v>
      </c>
      <c r="BZ60" s="23">
        <v>0</v>
      </c>
      <c r="CA60" s="23">
        <v>0</v>
      </c>
      <c r="CB60" s="23">
        <v>0</v>
      </c>
      <c r="CC60" s="24">
        <v>0</v>
      </c>
      <c r="CD60" s="23"/>
      <c r="CE60" s="22">
        <v>0</v>
      </c>
      <c r="CF60" s="23">
        <v>61507.7</v>
      </c>
      <c r="CG60" s="23">
        <v>61507.7</v>
      </c>
      <c r="CH60" s="23">
        <v>0</v>
      </c>
      <c r="CI60" s="23">
        <v>46000</v>
      </c>
      <c r="CJ60" s="23">
        <v>46000</v>
      </c>
      <c r="CK60" s="24">
        <v>46000</v>
      </c>
      <c r="CM60" s="111">
        <v>0</v>
      </c>
      <c r="CN60" s="114">
        <v>0</v>
      </c>
      <c r="CO60" s="126"/>
      <c r="CP60" s="124">
        <v>46000</v>
      </c>
    </row>
    <row r="61" spans="2:94" x14ac:dyDescent="0.2">
      <c r="B61" s="8" t="s">
        <v>17</v>
      </c>
      <c r="C61" s="22"/>
      <c r="D61" s="23"/>
      <c r="E61" s="23">
        <v>0</v>
      </c>
      <c r="F61" s="23">
        <v>0</v>
      </c>
      <c r="G61" s="23">
        <v>0</v>
      </c>
      <c r="H61" s="23">
        <v>0</v>
      </c>
      <c r="I61" s="24">
        <v>0</v>
      </c>
      <c r="J61" s="23"/>
      <c r="K61" s="22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4">
        <v>0</v>
      </c>
      <c r="R61" s="23"/>
      <c r="S61" s="22"/>
      <c r="T61" s="23"/>
      <c r="U61" s="23">
        <v>0</v>
      </c>
      <c r="V61" s="23">
        <v>5000</v>
      </c>
      <c r="W61" s="23">
        <v>0</v>
      </c>
      <c r="X61" s="23">
        <v>0</v>
      </c>
      <c r="Y61" s="24">
        <v>-5000</v>
      </c>
      <c r="Z61" s="23"/>
      <c r="AA61" s="22"/>
      <c r="AB61" s="23"/>
      <c r="AC61" s="23">
        <v>0</v>
      </c>
      <c r="AD61" s="23">
        <v>5000</v>
      </c>
      <c r="AE61" s="23">
        <v>0</v>
      </c>
      <c r="AF61" s="23">
        <v>0</v>
      </c>
      <c r="AG61" s="24">
        <v>-5000</v>
      </c>
      <c r="AH61" s="23"/>
      <c r="AI61" s="22"/>
      <c r="AJ61" s="23"/>
      <c r="AK61" s="23">
        <v>0</v>
      </c>
      <c r="AL61" s="23">
        <v>3500</v>
      </c>
      <c r="AM61" s="23">
        <v>0</v>
      </c>
      <c r="AN61" s="23">
        <v>0</v>
      </c>
      <c r="AO61" s="24">
        <v>-3500</v>
      </c>
      <c r="AP61" s="23"/>
      <c r="AQ61" s="22"/>
      <c r="AR61" s="23"/>
      <c r="AS61" s="23">
        <v>0</v>
      </c>
      <c r="AT61" s="23">
        <v>0</v>
      </c>
      <c r="AU61" s="23">
        <v>0</v>
      </c>
      <c r="AV61" s="23">
        <v>0</v>
      </c>
      <c r="AW61" s="24">
        <v>0</v>
      </c>
      <c r="AX61" s="23"/>
      <c r="AY61" s="22"/>
      <c r="AZ61" s="23"/>
      <c r="BA61" s="23">
        <v>0</v>
      </c>
      <c r="BB61" s="23">
        <v>0</v>
      </c>
      <c r="BC61" s="23">
        <v>100000</v>
      </c>
      <c r="BD61" s="23">
        <v>100000</v>
      </c>
      <c r="BE61" s="24">
        <v>100000</v>
      </c>
      <c r="BF61" s="23"/>
      <c r="BG61" s="22">
        <v>3000</v>
      </c>
      <c r="BH61" s="23"/>
      <c r="BI61" s="23">
        <v>-3000</v>
      </c>
      <c r="BJ61" s="23">
        <v>36000</v>
      </c>
      <c r="BK61" s="23">
        <v>0</v>
      </c>
      <c r="BL61" s="23">
        <v>-3000</v>
      </c>
      <c r="BM61" s="24">
        <v>-36000</v>
      </c>
      <c r="BN61" s="23"/>
      <c r="BO61" s="22"/>
      <c r="BP61" s="23"/>
      <c r="BQ61" s="23">
        <v>0</v>
      </c>
      <c r="BR61" s="23">
        <v>6000</v>
      </c>
      <c r="BS61" s="23">
        <v>0</v>
      </c>
      <c r="BT61" s="23">
        <v>0</v>
      </c>
      <c r="BU61" s="24">
        <v>-6000</v>
      </c>
      <c r="BV61" s="23"/>
      <c r="BW61" s="22"/>
      <c r="BX61" s="23"/>
      <c r="BY61" s="23">
        <v>0</v>
      </c>
      <c r="BZ61" s="23">
        <v>4000</v>
      </c>
      <c r="CA61" s="23">
        <v>0</v>
      </c>
      <c r="CB61" s="23">
        <v>0</v>
      </c>
      <c r="CC61" s="24">
        <v>-4000</v>
      </c>
      <c r="CD61" s="23"/>
      <c r="CE61" s="22">
        <v>3000</v>
      </c>
      <c r="CF61" s="23">
        <v>0</v>
      </c>
      <c r="CG61" s="23">
        <v>-3000</v>
      </c>
      <c r="CH61" s="23">
        <v>59500</v>
      </c>
      <c r="CI61" s="23">
        <v>100000</v>
      </c>
      <c r="CJ61" s="23">
        <v>97000</v>
      </c>
      <c r="CK61" s="24">
        <v>40500</v>
      </c>
      <c r="CM61" s="111">
        <v>32.333333333333336</v>
      </c>
      <c r="CN61" s="118">
        <v>0.68067226890756305</v>
      </c>
      <c r="CO61" s="126">
        <v>0</v>
      </c>
      <c r="CP61" s="124">
        <v>100000</v>
      </c>
    </row>
    <row r="62" spans="2:94" x14ac:dyDescent="0.2">
      <c r="B62" s="8" t="s">
        <v>18</v>
      </c>
      <c r="C62" s="22"/>
      <c r="D62" s="23"/>
      <c r="E62" s="23">
        <v>0</v>
      </c>
      <c r="F62" s="23">
        <v>0</v>
      </c>
      <c r="G62" s="23">
        <v>0</v>
      </c>
      <c r="H62" s="23">
        <v>0</v>
      </c>
      <c r="I62" s="24">
        <v>0</v>
      </c>
      <c r="J62" s="23"/>
      <c r="K62" s="22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4">
        <v>0</v>
      </c>
      <c r="R62" s="23"/>
      <c r="S62" s="22"/>
      <c r="T62" s="23"/>
      <c r="U62" s="23">
        <v>0</v>
      </c>
      <c r="V62" s="23">
        <v>2000</v>
      </c>
      <c r="W62" s="23">
        <v>0</v>
      </c>
      <c r="X62" s="23">
        <v>0</v>
      </c>
      <c r="Y62" s="24">
        <v>-2000</v>
      </c>
      <c r="Z62" s="23"/>
      <c r="AA62" s="22"/>
      <c r="AB62" s="23">
        <v>4374</v>
      </c>
      <c r="AC62" s="23">
        <v>4374</v>
      </c>
      <c r="AD62" s="23">
        <v>5000</v>
      </c>
      <c r="AE62" s="23">
        <v>2500</v>
      </c>
      <c r="AF62" s="23">
        <v>-1874</v>
      </c>
      <c r="AG62" s="24">
        <v>-2500</v>
      </c>
      <c r="AH62" s="23"/>
      <c r="AI62" s="22"/>
      <c r="AJ62" s="23"/>
      <c r="AK62" s="23">
        <v>0</v>
      </c>
      <c r="AL62" s="23">
        <v>2000</v>
      </c>
      <c r="AM62" s="23">
        <v>0</v>
      </c>
      <c r="AN62" s="23">
        <v>0</v>
      </c>
      <c r="AO62" s="24">
        <v>-2000</v>
      </c>
      <c r="AP62" s="23"/>
      <c r="AQ62" s="22"/>
      <c r="AR62" s="23"/>
      <c r="AS62" s="23">
        <v>0</v>
      </c>
      <c r="AT62" s="23">
        <v>0</v>
      </c>
      <c r="AU62" s="23">
        <v>0</v>
      </c>
      <c r="AV62" s="23">
        <v>0</v>
      </c>
      <c r="AW62" s="24">
        <v>0</v>
      </c>
      <c r="AX62" s="23"/>
      <c r="AY62" s="22"/>
      <c r="AZ62" s="23"/>
      <c r="BA62" s="23">
        <v>0</v>
      </c>
      <c r="BB62" s="23">
        <v>2000</v>
      </c>
      <c r="BC62" s="23">
        <v>0</v>
      </c>
      <c r="BD62" s="23">
        <v>0</v>
      </c>
      <c r="BE62" s="24">
        <v>-2000</v>
      </c>
      <c r="BF62" s="23"/>
      <c r="BG62" s="22"/>
      <c r="BH62" s="23"/>
      <c r="BI62" s="23">
        <v>0</v>
      </c>
      <c r="BJ62" s="23">
        <v>750</v>
      </c>
      <c r="BK62" s="23">
        <v>700</v>
      </c>
      <c r="BL62" s="23">
        <v>700</v>
      </c>
      <c r="BM62" s="24">
        <v>-50</v>
      </c>
      <c r="BN62" s="23"/>
      <c r="BO62" s="22"/>
      <c r="BP62" s="23"/>
      <c r="BQ62" s="23">
        <v>0</v>
      </c>
      <c r="BR62" s="23">
        <v>0</v>
      </c>
      <c r="BS62" s="23">
        <v>0</v>
      </c>
      <c r="BT62" s="23">
        <v>0</v>
      </c>
      <c r="BU62" s="24">
        <v>0</v>
      </c>
      <c r="BV62" s="23"/>
      <c r="BW62" s="22"/>
      <c r="BX62" s="23"/>
      <c r="BY62" s="23">
        <v>0</v>
      </c>
      <c r="BZ62" s="23">
        <v>0</v>
      </c>
      <c r="CA62" s="23">
        <v>8000</v>
      </c>
      <c r="CB62" s="23">
        <v>8000</v>
      </c>
      <c r="CC62" s="24">
        <v>8000</v>
      </c>
      <c r="CD62" s="23"/>
      <c r="CE62" s="22">
        <v>0</v>
      </c>
      <c r="CF62" s="23">
        <v>4374</v>
      </c>
      <c r="CG62" s="23">
        <v>4374</v>
      </c>
      <c r="CH62" s="23">
        <v>11750</v>
      </c>
      <c r="CI62" s="139">
        <v>11200</v>
      </c>
      <c r="CJ62" s="23">
        <v>11200</v>
      </c>
      <c r="CK62" s="24">
        <v>-550</v>
      </c>
      <c r="CM62" s="112">
        <v>0</v>
      </c>
      <c r="CN62" s="115">
        <v>-4.6808510638297871E-2</v>
      </c>
      <c r="CO62" s="126"/>
      <c r="CP62" s="124">
        <v>11200</v>
      </c>
    </row>
    <row r="63" spans="2:94" x14ac:dyDescent="0.2"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25">
        <v>0</v>
      </c>
      <c r="J63" s="23"/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5">
        <v>0</v>
      </c>
      <c r="R63" s="23"/>
      <c r="S63" s="10">
        <v>0</v>
      </c>
      <c r="T63" s="10">
        <v>4500</v>
      </c>
      <c r="U63" s="10">
        <v>4500</v>
      </c>
      <c r="V63" s="10">
        <v>26450</v>
      </c>
      <c r="W63" s="10">
        <v>10000</v>
      </c>
      <c r="X63" s="10">
        <v>10000</v>
      </c>
      <c r="Y63" s="25">
        <v>-16450</v>
      </c>
      <c r="Z63" s="23"/>
      <c r="AA63" s="10">
        <v>3627</v>
      </c>
      <c r="AB63" s="10">
        <v>6366.39</v>
      </c>
      <c r="AC63" s="10">
        <v>2739.3900000000003</v>
      </c>
      <c r="AD63" s="10">
        <v>12500</v>
      </c>
      <c r="AE63" s="10">
        <v>11100</v>
      </c>
      <c r="AF63" s="10">
        <v>4733.6099999999997</v>
      </c>
      <c r="AG63" s="25">
        <v>-1400</v>
      </c>
      <c r="AH63" s="23"/>
      <c r="AI63" s="10">
        <v>0</v>
      </c>
      <c r="AJ63" s="10">
        <v>0</v>
      </c>
      <c r="AK63" s="10">
        <v>0</v>
      </c>
      <c r="AL63" s="10">
        <v>5500</v>
      </c>
      <c r="AM63" s="10">
        <v>5500</v>
      </c>
      <c r="AN63" s="10">
        <v>5500</v>
      </c>
      <c r="AO63" s="25">
        <v>0</v>
      </c>
      <c r="AP63" s="23"/>
      <c r="AQ63" s="10">
        <v>0</v>
      </c>
      <c r="AR63" s="10">
        <v>0</v>
      </c>
      <c r="AS63" s="10">
        <v>0</v>
      </c>
      <c r="AT63" s="10">
        <v>20000</v>
      </c>
      <c r="AU63" s="10">
        <v>0</v>
      </c>
      <c r="AV63" s="10">
        <v>0</v>
      </c>
      <c r="AW63" s="25">
        <v>-20000</v>
      </c>
      <c r="AX63" s="23"/>
      <c r="AY63" s="10">
        <v>30000</v>
      </c>
      <c r="AZ63" s="10">
        <v>27516.54</v>
      </c>
      <c r="BA63" s="10">
        <v>-2483.4599999999991</v>
      </c>
      <c r="BB63" s="10">
        <v>3000</v>
      </c>
      <c r="BC63" s="10">
        <v>100000</v>
      </c>
      <c r="BD63" s="10">
        <v>70000</v>
      </c>
      <c r="BE63" s="25">
        <v>97000</v>
      </c>
      <c r="BF63" s="23"/>
      <c r="BG63" s="10">
        <v>6505</v>
      </c>
      <c r="BH63" s="10">
        <v>9148.43</v>
      </c>
      <c r="BI63" s="10">
        <v>2643.4300000000003</v>
      </c>
      <c r="BJ63" s="10">
        <v>63750</v>
      </c>
      <c r="BK63" s="10">
        <v>22200</v>
      </c>
      <c r="BL63" s="10">
        <v>15695</v>
      </c>
      <c r="BM63" s="25">
        <v>-41550</v>
      </c>
      <c r="BN63" s="23"/>
      <c r="BO63" s="10">
        <v>0</v>
      </c>
      <c r="BP63" s="10">
        <v>72313.459999999992</v>
      </c>
      <c r="BQ63" s="10">
        <v>72313.459999999992</v>
      </c>
      <c r="BR63" s="10">
        <v>55000</v>
      </c>
      <c r="BS63" s="10">
        <v>46000</v>
      </c>
      <c r="BT63" s="10">
        <v>46000</v>
      </c>
      <c r="BU63" s="25">
        <v>-9000</v>
      </c>
      <c r="BV63" s="23"/>
      <c r="BW63" s="10">
        <v>0</v>
      </c>
      <c r="BX63" s="10">
        <v>2294.1400000000003</v>
      </c>
      <c r="BY63" s="10">
        <v>2294.1400000000003</v>
      </c>
      <c r="BZ63" s="10">
        <v>7000</v>
      </c>
      <c r="CA63" s="10">
        <v>24000</v>
      </c>
      <c r="CB63" s="10">
        <v>24000</v>
      </c>
      <c r="CC63" s="25">
        <v>17000</v>
      </c>
      <c r="CD63" s="23"/>
      <c r="CE63" s="10">
        <v>40132</v>
      </c>
      <c r="CF63" s="10">
        <v>122138.95999999999</v>
      </c>
      <c r="CG63" s="10">
        <v>82006.959999999992</v>
      </c>
      <c r="CH63" s="10">
        <v>193200</v>
      </c>
      <c r="CI63" s="10">
        <v>218800</v>
      </c>
      <c r="CJ63" s="10">
        <v>178668</v>
      </c>
      <c r="CK63" s="25">
        <v>25600</v>
      </c>
      <c r="CM63" s="110">
        <v>4.452008372371175</v>
      </c>
      <c r="CN63" s="114">
        <v>0.13250517598343686</v>
      </c>
      <c r="CO63" s="131">
        <v>0</v>
      </c>
      <c r="CP63" s="127">
        <v>218800</v>
      </c>
    </row>
    <row r="64" spans="2:94" ht="24" customHeight="1" x14ac:dyDescent="0.2">
      <c r="C64" s="34">
        <v>429085.19</v>
      </c>
      <c r="D64" s="34">
        <v>372960.85</v>
      </c>
      <c r="E64" s="34">
        <v>-56124.340000000011</v>
      </c>
      <c r="F64" s="34">
        <v>480102</v>
      </c>
      <c r="G64" s="34">
        <v>530961.31086493505</v>
      </c>
      <c r="H64" s="34">
        <v>101876.1208649351</v>
      </c>
      <c r="I64" s="35">
        <v>50859.310864935105</v>
      </c>
      <c r="J64" s="33"/>
      <c r="K64" s="34">
        <v>0</v>
      </c>
      <c r="L64" s="34">
        <v>0</v>
      </c>
      <c r="M64" s="34">
        <v>0</v>
      </c>
      <c r="N64" s="34">
        <v>50000</v>
      </c>
      <c r="O64" s="34">
        <v>140791.16869861732</v>
      </c>
      <c r="P64" s="34">
        <v>140791.16869861732</v>
      </c>
      <c r="Q64" s="35">
        <v>90791.168698617315</v>
      </c>
      <c r="R64" s="33"/>
      <c r="S64" s="34">
        <v>1545341</v>
      </c>
      <c r="T64" s="34">
        <v>1426764.11</v>
      </c>
      <c r="U64" s="34">
        <v>-118576.89000000007</v>
      </c>
      <c r="V64" s="34">
        <v>1808729</v>
      </c>
      <c r="W64" s="34">
        <v>1611004.1723584614</v>
      </c>
      <c r="X64" s="34">
        <v>65663.172358461539</v>
      </c>
      <c r="Y64" s="35">
        <v>-197724.82764153846</v>
      </c>
      <c r="Z64" s="33"/>
      <c r="AA64" s="34">
        <v>1377588.45</v>
      </c>
      <c r="AB64" s="34">
        <v>1236232.93</v>
      </c>
      <c r="AC64" s="34">
        <v>-141355.51999999993</v>
      </c>
      <c r="AD64" s="34">
        <v>1499004</v>
      </c>
      <c r="AE64" s="34">
        <v>1455482.0938892309</v>
      </c>
      <c r="AF64" s="34">
        <v>219249.16388923075</v>
      </c>
      <c r="AG64" s="35">
        <v>-43521.906110769225</v>
      </c>
      <c r="AH64" s="33"/>
      <c r="AI64" s="34">
        <v>655664.28</v>
      </c>
      <c r="AJ64" s="34">
        <v>651974.03999999992</v>
      </c>
      <c r="AK64" s="34">
        <v>-3690.2400000000034</v>
      </c>
      <c r="AL64" s="34">
        <v>797924</v>
      </c>
      <c r="AM64" s="34">
        <f>+AM18+AM22+AM27+AM57+AM63</f>
        <v>817105.14136417233</v>
      </c>
      <c r="AN64" s="34">
        <v>141440.86136417236</v>
      </c>
      <c r="AO64" s="35">
        <v>-818.85863582763704</v>
      </c>
      <c r="AP64" s="33"/>
      <c r="AQ64" s="34">
        <v>690737.96</v>
      </c>
      <c r="AR64" s="34">
        <v>672476.38</v>
      </c>
      <c r="AS64" s="34">
        <v>-18261.579999999922</v>
      </c>
      <c r="AT64" s="34">
        <v>729456</v>
      </c>
      <c r="AU64" s="34">
        <v>745048.55834923068</v>
      </c>
      <c r="AV64" s="34">
        <v>54310.59834923083</v>
      </c>
      <c r="AW64" s="35">
        <v>15592.558349230778</v>
      </c>
      <c r="AX64" s="33"/>
      <c r="AY64" s="34">
        <v>839553.74436536059</v>
      </c>
      <c r="AZ64" s="34">
        <v>849138.32000000007</v>
      </c>
      <c r="BA64" s="34">
        <v>9584.5756346393719</v>
      </c>
      <c r="BB64" s="34">
        <v>913096</v>
      </c>
      <c r="BC64" s="34">
        <v>1091542.2598148049</v>
      </c>
      <c r="BD64" s="34">
        <v>251988.5154494443</v>
      </c>
      <c r="BE64" s="35">
        <v>178446.25981480494</v>
      </c>
      <c r="BF64" s="33"/>
      <c r="BG64" s="34">
        <v>2752662.4140963634</v>
      </c>
      <c r="BH64" s="34">
        <v>2778062.3699999996</v>
      </c>
      <c r="BI64" s="34">
        <v>25399.95590363691</v>
      </c>
      <c r="BJ64" s="34">
        <v>3046337</v>
      </c>
      <c r="BK64" s="34">
        <v>3078812.7179849297</v>
      </c>
      <c r="BL64" s="34">
        <v>326150.30388856673</v>
      </c>
      <c r="BM64" s="35">
        <v>32475.717984929623</v>
      </c>
      <c r="BN64" s="33"/>
      <c r="BO64" s="34">
        <v>2029338.2110426002</v>
      </c>
      <c r="BP64" s="34">
        <v>2140582.27</v>
      </c>
      <c r="BQ64" s="34">
        <v>111244.05895739992</v>
      </c>
      <c r="BR64" s="34">
        <v>2142835</v>
      </c>
      <c r="BS64" s="34">
        <v>2119134.0317589762</v>
      </c>
      <c r="BT64" s="34">
        <v>89795.820716375936</v>
      </c>
      <c r="BU64" s="35">
        <v>-23700.968241023846</v>
      </c>
      <c r="BV64" s="33"/>
      <c r="BW64" s="34">
        <v>869417.02829266794</v>
      </c>
      <c r="BX64" s="34">
        <v>835019.3600000001</v>
      </c>
      <c r="BY64" s="34">
        <v>-34397.668292667993</v>
      </c>
      <c r="BZ64" s="34">
        <v>954603</v>
      </c>
      <c r="CA64" s="34">
        <v>1179288.0004883159</v>
      </c>
      <c r="CB64" s="34">
        <v>309870.97219564795</v>
      </c>
      <c r="CC64" s="35">
        <v>224685.00048831591</v>
      </c>
      <c r="CD64" s="33"/>
      <c r="CE64" s="34">
        <v>11189388.277796991</v>
      </c>
      <c r="CF64" s="34">
        <v>10963210.629999999</v>
      </c>
      <c r="CG64" s="34">
        <v>-226177.64779699172</v>
      </c>
      <c r="CH64" s="34">
        <v>12422086</v>
      </c>
      <c r="CI64" s="34">
        <v>12749169.455571674</v>
      </c>
      <c r="CJ64" s="34">
        <v>1559781.1777746826</v>
      </c>
      <c r="CK64" s="35">
        <v>327083.45557167439</v>
      </c>
      <c r="CM64" s="110">
        <v>0.13939825297418121</v>
      </c>
      <c r="CN64" s="116">
        <v>2.6330799478579876E-2</v>
      </c>
      <c r="CO64" s="132">
        <v>0</v>
      </c>
      <c r="CP64" s="128">
        <v>12749169.455571674</v>
      </c>
    </row>
    <row r="65" spans="3:94" x14ac:dyDescent="0.2">
      <c r="C65" s="11">
        <v>0</v>
      </c>
      <c r="D65" s="11">
        <v>0</v>
      </c>
      <c r="E65" s="11"/>
      <c r="F65" s="11"/>
      <c r="G65" s="11"/>
      <c r="H65" s="11"/>
      <c r="I65" s="21"/>
      <c r="J65" s="11"/>
      <c r="K65" s="11"/>
      <c r="L65" s="11"/>
      <c r="M65" s="11"/>
      <c r="N65" s="11"/>
      <c r="O65" s="11"/>
      <c r="P65" s="11"/>
      <c r="Q65" s="11"/>
      <c r="R65" s="27"/>
      <c r="S65" s="11">
        <v>0</v>
      </c>
      <c r="T65" s="11">
        <v>0</v>
      </c>
      <c r="U65" s="11"/>
      <c r="V65" s="11">
        <v>0</v>
      </c>
      <c r="W65" s="11">
        <f>+V64-W64</f>
        <v>197724.82764153858</v>
      </c>
      <c r="X65" s="11"/>
      <c r="Y65" s="21">
        <f>+Y64/V64</f>
        <v>-0.10931699975039846</v>
      </c>
      <c r="Z65" s="27"/>
      <c r="AA65" s="11"/>
      <c r="AB65" s="11"/>
      <c r="AC65" s="11">
        <v>0</v>
      </c>
      <c r="AD65" s="11">
        <v>0</v>
      </c>
      <c r="AE65" s="11">
        <v>0</v>
      </c>
      <c r="AF65" s="11"/>
      <c r="AG65" s="21">
        <f>+AG64/AD64</f>
        <v>-2.9033882571873875E-2</v>
      </c>
      <c r="AH65" s="27"/>
      <c r="AI65" s="11">
        <v>0</v>
      </c>
      <c r="AJ65" s="11">
        <v>0</v>
      </c>
      <c r="AK65" s="11"/>
      <c r="AL65" s="11">
        <v>0</v>
      </c>
      <c r="AM65" s="11"/>
      <c r="AN65" s="11"/>
      <c r="AO65" s="11"/>
      <c r="AP65" s="27"/>
      <c r="AQ65" s="11">
        <v>0</v>
      </c>
      <c r="AR65" s="11">
        <v>0</v>
      </c>
      <c r="AS65" s="11"/>
      <c r="AT65" s="11">
        <v>0</v>
      </c>
      <c r="AU65" s="11">
        <v>-20000</v>
      </c>
      <c r="AV65" s="11"/>
      <c r="AW65" s="11"/>
      <c r="AX65" s="27"/>
      <c r="AY65" s="11">
        <v>0</v>
      </c>
      <c r="AZ65" s="11">
        <v>0</v>
      </c>
      <c r="BA65" s="11"/>
      <c r="BB65" s="11">
        <v>0</v>
      </c>
      <c r="BC65" s="11">
        <v>0</v>
      </c>
      <c r="BD65" s="11"/>
      <c r="BE65" s="11"/>
      <c r="BF65" s="27"/>
      <c r="BG65" s="11">
        <v>0</v>
      </c>
      <c r="BH65" s="11">
        <v>-78</v>
      </c>
      <c r="BI65" s="11"/>
      <c r="BJ65" s="11">
        <v>0</v>
      </c>
      <c r="BK65" s="11">
        <v>-261000</v>
      </c>
      <c r="BL65" s="11"/>
      <c r="BM65" s="11"/>
      <c r="BN65" s="27"/>
      <c r="BO65" s="11">
        <v>0</v>
      </c>
      <c r="BP65" s="11">
        <v>0</v>
      </c>
      <c r="BQ65" s="11"/>
      <c r="BR65" s="11">
        <v>0</v>
      </c>
      <c r="BS65" s="11">
        <v>-50000</v>
      </c>
      <c r="BT65" s="11"/>
      <c r="BU65" s="11"/>
      <c r="BV65" s="27"/>
      <c r="BW65" s="11">
        <v>0</v>
      </c>
      <c r="BX65" s="11">
        <v>0</v>
      </c>
      <c r="BY65" s="11"/>
      <c r="BZ65" s="11">
        <v>0</v>
      </c>
      <c r="CA65" s="11">
        <v>-9000</v>
      </c>
      <c r="CB65" s="11"/>
      <c r="CC65" s="11"/>
      <c r="CD65" s="27"/>
      <c r="CE65" s="11"/>
      <c r="CF65" s="11"/>
      <c r="CG65" s="11"/>
      <c r="CH65" s="11">
        <v>0</v>
      </c>
      <c r="CI65" s="11">
        <v>-550000</v>
      </c>
      <c r="CJ65" s="11"/>
      <c r="CK65" s="11"/>
      <c r="CM65" s="11"/>
      <c r="CN65" s="11"/>
      <c r="CP65" s="11"/>
    </row>
    <row r="66" spans="3:94" x14ac:dyDescent="0.2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27"/>
      <c r="S66" s="11"/>
      <c r="T66" s="11"/>
      <c r="U66" s="11"/>
      <c r="V66" s="11"/>
      <c r="W66" s="11"/>
      <c r="X66" s="11"/>
      <c r="Y66" s="11"/>
      <c r="Z66" s="27"/>
      <c r="AA66" s="11"/>
      <c r="AB66" s="11"/>
      <c r="AC66" s="11"/>
      <c r="AD66" s="11"/>
      <c r="AE66" s="11"/>
      <c r="AF66" s="11"/>
      <c r="AG66" s="11"/>
      <c r="AH66" s="27"/>
      <c r="AI66" s="11"/>
      <c r="AJ66" s="11"/>
      <c r="AK66" s="11"/>
      <c r="AL66" s="11"/>
      <c r="AM66" s="11"/>
      <c r="AN66" s="11"/>
      <c r="AO66" s="11"/>
      <c r="AP66" s="27"/>
      <c r="AQ66" s="11"/>
      <c r="AR66" s="11"/>
      <c r="AS66" s="11"/>
      <c r="AT66" s="11"/>
      <c r="AU66" s="11"/>
      <c r="AV66" s="11"/>
      <c r="AW66" s="11"/>
      <c r="AX66" s="27"/>
      <c r="AY66" s="11"/>
      <c r="AZ66" s="11"/>
      <c r="BA66" s="11"/>
      <c r="BB66" s="11"/>
      <c r="BC66" s="11"/>
      <c r="BD66" s="11"/>
      <c r="BE66" s="11"/>
      <c r="BF66" s="27"/>
      <c r="BG66" s="11"/>
      <c r="BH66" s="11"/>
      <c r="BI66" s="11"/>
      <c r="BJ66" s="11"/>
      <c r="BK66" s="11"/>
      <c r="BL66" s="11"/>
      <c r="BM66" s="11"/>
      <c r="BN66" s="27"/>
      <c r="BO66" s="11"/>
      <c r="BP66" s="11"/>
      <c r="BQ66" s="11"/>
      <c r="BR66" s="11"/>
      <c r="BS66" s="11"/>
      <c r="BT66" s="11"/>
      <c r="BU66" s="11"/>
      <c r="BV66" s="27"/>
      <c r="BW66" s="11"/>
      <c r="BX66" s="11"/>
      <c r="BY66" s="11"/>
      <c r="BZ66" s="11"/>
      <c r="CA66" s="11"/>
      <c r="CB66" s="11"/>
      <c r="CC66" s="11"/>
      <c r="CD66" s="27"/>
      <c r="CE66" s="11"/>
      <c r="CF66" s="11"/>
      <c r="CG66" s="11"/>
      <c r="CH66" s="11"/>
      <c r="CI66" s="11"/>
      <c r="CJ66" s="11"/>
      <c r="CK66" s="11"/>
      <c r="CM66" s="11"/>
      <c r="CN66" s="11"/>
      <c r="CP66" s="11"/>
    </row>
    <row r="67" spans="3:94" x14ac:dyDescent="0.2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27"/>
      <c r="S67" s="11"/>
      <c r="T67" s="11"/>
      <c r="U67" s="11"/>
      <c r="V67" s="11"/>
      <c r="W67" s="11"/>
      <c r="X67" s="11"/>
      <c r="Y67" s="11"/>
      <c r="Z67" s="27"/>
      <c r="AA67" s="11"/>
      <c r="AB67" s="11"/>
      <c r="AC67" s="11"/>
      <c r="AD67" s="11"/>
      <c r="AE67" s="11"/>
      <c r="AF67" s="11"/>
      <c r="AG67" s="11"/>
      <c r="AH67" s="27"/>
      <c r="AI67" s="11"/>
      <c r="AJ67" s="11"/>
      <c r="AK67" s="11"/>
      <c r="AL67" s="11"/>
      <c r="AM67" s="11"/>
      <c r="AN67" s="11"/>
      <c r="AO67" s="11"/>
      <c r="AP67" s="27"/>
      <c r="AQ67" s="11"/>
      <c r="AR67" s="11"/>
      <c r="AS67" s="11"/>
      <c r="AT67" s="11"/>
      <c r="AU67" s="11"/>
      <c r="AV67" s="11"/>
      <c r="AW67" s="11"/>
      <c r="AX67" s="27"/>
      <c r="AY67" s="11"/>
      <c r="AZ67" s="11"/>
      <c r="BA67" s="11"/>
      <c r="BB67" s="11"/>
      <c r="BC67" s="11"/>
      <c r="BD67" s="11"/>
      <c r="BE67" s="11"/>
      <c r="BF67" s="27"/>
      <c r="BG67" s="11"/>
      <c r="BH67" s="11"/>
      <c r="BI67" s="11"/>
      <c r="BJ67" s="11"/>
      <c r="BK67" s="11"/>
      <c r="BL67" s="11"/>
      <c r="BM67" s="11"/>
      <c r="BN67" s="27"/>
      <c r="BO67" s="11"/>
      <c r="BP67" s="11"/>
      <c r="BQ67" s="11"/>
      <c r="BR67" s="11"/>
      <c r="BS67" s="11"/>
      <c r="BT67" s="11"/>
      <c r="BU67" s="11"/>
      <c r="BV67" s="27"/>
      <c r="BW67" s="11"/>
      <c r="BX67" s="11"/>
      <c r="BY67" s="11"/>
      <c r="BZ67" s="11"/>
      <c r="CA67" s="11"/>
      <c r="CB67" s="11"/>
      <c r="CC67" s="11"/>
      <c r="CD67" s="27"/>
      <c r="CE67" s="11"/>
      <c r="CF67" s="11"/>
      <c r="CG67" s="11"/>
      <c r="CH67" s="11"/>
      <c r="CI67" s="11"/>
      <c r="CJ67" s="11"/>
      <c r="CK67" s="11"/>
      <c r="CM67" s="11"/>
      <c r="CN67" s="11"/>
      <c r="CP67" s="11"/>
    </row>
    <row r="68" spans="3:94" x14ac:dyDescent="0.2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27"/>
      <c r="S68" s="11"/>
      <c r="T68" s="11"/>
      <c r="U68" s="11"/>
      <c r="V68" s="11"/>
      <c r="W68" s="11"/>
      <c r="X68" s="11"/>
      <c r="Y68" s="11"/>
      <c r="Z68" s="27"/>
      <c r="AA68" s="11"/>
      <c r="AB68" s="11"/>
      <c r="AC68" s="11"/>
      <c r="AD68" s="11"/>
      <c r="AE68" s="11"/>
      <c r="AF68" s="11"/>
      <c r="AG68" s="11"/>
      <c r="AH68" s="27"/>
      <c r="AI68" s="11"/>
      <c r="AJ68" s="11"/>
      <c r="AK68" s="11"/>
      <c r="AL68" s="11"/>
      <c r="AM68" s="11"/>
      <c r="AN68" s="11"/>
      <c r="AO68" s="11"/>
      <c r="AP68" s="27"/>
      <c r="AQ68" s="11"/>
      <c r="AR68" s="11"/>
      <c r="AS68" s="11"/>
      <c r="AT68" s="11"/>
      <c r="AU68" s="11"/>
      <c r="AV68" s="11"/>
      <c r="AW68" s="11"/>
      <c r="AX68" s="27"/>
      <c r="AY68" s="11"/>
      <c r="AZ68" s="11"/>
      <c r="BA68" s="11"/>
      <c r="BB68" s="11"/>
      <c r="BC68" s="11"/>
      <c r="BD68" s="11"/>
      <c r="BE68" s="11"/>
      <c r="BF68" s="27"/>
      <c r="BG68" s="11"/>
      <c r="BH68" s="11"/>
      <c r="BI68" s="11"/>
      <c r="BJ68" s="11"/>
      <c r="BK68" s="11"/>
      <c r="BL68" s="11"/>
      <c r="BM68" s="11"/>
      <c r="BN68" s="27"/>
      <c r="BO68" s="11"/>
      <c r="BP68" s="11"/>
      <c r="BQ68" s="11"/>
      <c r="BR68" s="11"/>
      <c r="BS68" s="11"/>
      <c r="BT68" s="11"/>
      <c r="BU68" s="11"/>
      <c r="BV68" s="27"/>
      <c r="BW68" s="11"/>
      <c r="BX68" s="11"/>
      <c r="BY68" s="11"/>
      <c r="BZ68" s="11"/>
      <c r="CA68" s="11"/>
      <c r="CB68" s="11"/>
      <c r="CC68" s="11"/>
      <c r="CD68" s="27"/>
      <c r="CE68" s="11"/>
      <c r="CF68" s="11"/>
      <c r="CG68" s="11"/>
      <c r="CH68" s="11"/>
      <c r="CI68" s="11"/>
      <c r="CJ68" s="11"/>
      <c r="CK68" s="11"/>
      <c r="CM68" s="11"/>
      <c r="CN68" s="11"/>
      <c r="CP68" s="11"/>
    </row>
    <row r="69" spans="3:94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27"/>
      <c r="S69" s="11"/>
      <c r="T69" s="11"/>
      <c r="U69" s="11"/>
      <c r="V69" s="11"/>
      <c r="W69" s="11"/>
      <c r="X69" s="11"/>
      <c r="Y69" s="11"/>
      <c r="Z69" s="27"/>
      <c r="AA69" s="11"/>
      <c r="AB69" s="11"/>
      <c r="AC69" s="11"/>
      <c r="AD69" s="11"/>
      <c r="AE69" s="11"/>
      <c r="AF69" s="11"/>
      <c r="AG69" s="11"/>
      <c r="AH69" s="27"/>
      <c r="AI69" s="11"/>
      <c r="AJ69" s="11"/>
      <c r="AK69" s="11"/>
      <c r="AL69" s="11"/>
      <c r="AM69" s="11"/>
      <c r="AN69" s="11"/>
      <c r="AO69" s="11"/>
      <c r="AP69" s="27"/>
      <c r="AQ69" s="11"/>
      <c r="AR69" s="11"/>
      <c r="AS69" s="11"/>
      <c r="AT69" s="11"/>
      <c r="AU69" s="11"/>
      <c r="AV69" s="11"/>
      <c r="AW69" s="11"/>
      <c r="AX69" s="27"/>
      <c r="AY69" s="11"/>
      <c r="AZ69" s="11"/>
      <c r="BA69" s="11"/>
      <c r="BB69" s="11"/>
      <c r="BC69" s="11"/>
      <c r="BD69" s="11"/>
      <c r="BE69" s="11"/>
      <c r="BF69" s="27"/>
      <c r="BG69" s="11"/>
      <c r="BH69" s="11"/>
      <c r="BI69" s="11"/>
      <c r="BJ69" s="11"/>
      <c r="BK69" s="11"/>
      <c r="BL69" s="11"/>
      <c r="BM69" s="11"/>
      <c r="BN69" s="27"/>
      <c r="BO69" s="11"/>
      <c r="BP69" s="11"/>
      <c r="BQ69" s="11"/>
      <c r="BR69" s="11"/>
      <c r="BS69" s="11"/>
      <c r="BT69" s="11"/>
      <c r="BU69" s="11"/>
      <c r="BV69" s="27"/>
      <c r="BW69" s="11"/>
      <c r="BX69" s="11"/>
      <c r="BY69" s="11"/>
      <c r="BZ69" s="11"/>
      <c r="CA69" s="11"/>
      <c r="CB69" s="11"/>
      <c r="CC69" s="11"/>
      <c r="CD69" s="27"/>
      <c r="CE69" s="11"/>
      <c r="CF69" s="11"/>
      <c r="CG69" s="11"/>
      <c r="CH69" s="11"/>
      <c r="CI69" s="11"/>
      <c r="CJ69" s="11"/>
      <c r="CK69" s="11"/>
      <c r="CM69" s="11"/>
      <c r="CN69" s="11"/>
      <c r="CP69" s="11"/>
    </row>
  </sheetData>
  <pageMargins left="0.5" right="0.24" top="0.3" bottom="0.18" header="0.34" footer="0.17"/>
  <pageSetup orientation="portrait" verticalDpi="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zoomScale="125" zoomScaleNormal="125" zoomScalePageLayoutView="125" workbookViewId="0">
      <pane xSplit="2" ySplit="5" topLeftCell="C43" activePane="bottomRight" state="frozen"/>
      <selection pane="topRight" activeCell="C1" sqref="C1"/>
      <selection pane="bottomLeft" activeCell="A6" sqref="A6"/>
      <selection pane="bottomRight" activeCell="B71" sqref="B71"/>
    </sheetView>
  </sheetViews>
  <sheetFormatPr defaultColWidth="8.85546875" defaultRowHeight="12.75" x14ac:dyDescent="0.2"/>
  <cols>
    <col min="1" max="1" width="2.28515625" style="71" customWidth="1"/>
    <col min="2" max="2" width="20.85546875" style="71" customWidth="1"/>
    <col min="3" max="12" width="10.7109375" style="71" customWidth="1"/>
    <col min="13" max="13" width="10" style="71" customWidth="1"/>
    <col min="14" max="225" width="11.42578125" style="71" customWidth="1"/>
    <col min="226" max="16384" width="8.85546875" style="71"/>
  </cols>
  <sheetData>
    <row r="1" spans="1:12" x14ac:dyDescent="0.2">
      <c r="A1" s="89" t="s">
        <v>0</v>
      </c>
      <c r="B1" s="90"/>
      <c r="C1" s="90"/>
      <c r="D1" s="90"/>
      <c r="E1" s="90"/>
      <c r="F1" s="90"/>
      <c r="G1" s="90"/>
    </row>
    <row r="2" spans="1:12" x14ac:dyDescent="0.2">
      <c r="A2" s="91" t="s">
        <v>46</v>
      </c>
      <c r="B2" s="92"/>
      <c r="C2" s="92"/>
      <c r="D2" s="92"/>
      <c r="E2" s="92"/>
      <c r="F2" s="92"/>
      <c r="G2" s="92"/>
    </row>
    <row r="3" spans="1:12" ht="15.75" customHeight="1" x14ac:dyDescent="0.2">
      <c r="A3" s="93" t="s">
        <v>141</v>
      </c>
      <c r="B3" s="92"/>
      <c r="C3" s="94"/>
      <c r="D3" s="94"/>
      <c r="E3" s="94"/>
      <c r="F3" s="94"/>
      <c r="G3" s="94"/>
      <c r="H3" s="94"/>
      <c r="I3" s="94"/>
      <c r="J3" s="94"/>
      <c r="K3" s="94"/>
    </row>
    <row r="4" spans="1:12" ht="15.75" customHeight="1" x14ac:dyDescent="0.2">
      <c r="A4" s="93"/>
      <c r="B4" s="92"/>
      <c r="C4" s="344" t="s">
        <v>47</v>
      </c>
      <c r="D4" s="344" t="s">
        <v>48</v>
      </c>
      <c r="E4" s="344" t="s">
        <v>49</v>
      </c>
      <c r="F4" s="344" t="s">
        <v>50</v>
      </c>
      <c r="G4" s="344" t="s">
        <v>51</v>
      </c>
      <c r="H4" s="344" t="s">
        <v>54</v>
      </c>
      <c r="I4" s="344" t="s">
        <v>80</v>
      </c>
      <c r="J4" s="344" t="s">
        <v>81</v>
      </c>
      <c r="K4" s="344" t="s">
        <v>78</v>
      </c>
      <c r="L4" s="344" t="s">
        <v>79</v>
      </c>
    </row>
    <row r="5" spans="1:12" x14ac:dyDescent="0.2">
      <c r="A5" s="93"/>
      <c r="B5" s="92"/>
      <c r="C5" s="344"/>
      <c r="D5" s="344"/>
      <c r="E5" s="344"/>
      <c r="F5" s="344"/>
      <c r="G5" s="344"/>
      <c r="H5" s="344"/>
      <c r="I5" s="344"/>
      <c r="J5" s="344"/>
      <c r="K5" s="344"/>
      <c r="L5" s="344"/>
    </row>
    <row r="6" spans="1:12" x14ac:dyDescent="0.2">
      <c r="B6" s="73" t="s">
        <v>58</v>
      </c>
      <c r="C6" s="9">
        <v>177064</v>
      </c>
      <c r="D6" s="9">
        <v>895544</v>
      </c>
      <c r="E6" s="9">
        <v>687346</v>
      </c>
      <c r="F6" s="9">
        <v>445563</v>
      </c>
      <c r="G6" s="9">
        <v>427819</v>
      </c>
      <c r="H6" s="9">
        <v>240851</v>
      </c>
      <c r="I6" s="9">
        <v>1598803</v>
      </c>
      <c r="J6" s="9">
        <v>528871</v>
      </c>
      <c r="K6" s="9">
        <v>364902</v>
      </c>
      <c r="L6" s="9">
        <f>SUM(C6:K6)</f>
        <v>5366763</v>
      </c>
    </row>
    <row r="7" spans="1:12" x14ac:dyDescent="0.2">
      <c r="B7" s="73" t="s">
        <v>59</v>
      </c>
      <c r="C7" s="9">
        <v>278</v>
      </c>
      <c r="D7" s="9">
        <v>16712</v>
      </c>
      <c r="E7" s="9">
        <v>10339</v>
      </c>
      <c r="F7" s="9">
        <v>8270</v>
      </c>
      <c r="G7" s="9">
        <v>9695</v>
      </c>
      <c r="H7" s="9">
        <v>7326</v>
      </c>
      <c r="I7" s="9">
        <v>42804</v>
      </c>
      <c r="J7" s="9">
        <v>9948</v>
      </c>
      <c r="K7" s="9">
        <v>17068</v>
      </c>
      <c r="L7" s="9">
        <f t="shared" ref="L7:L17" si="0">SUM(C7:K7)</f>
        <v>122440</v>
      </c>
    </row>
    <row r="8" spans="1:12" x14ac:dyDescent="0.2">
      <c r="B8" s="73" t="s">
        <v>60</v>
      </c>
      <c r="C8" s="9">
        <v>0</v>
      </c>
      <c r="D8" s="9">
        <v>168833</v>
      </c>
      <c r="E8" s="9">
        <v>130614</v>
      </c>
      <c r="F8" s="9">
        <v>34936</v>
      </c>
      <c r="G8" s="9">
        <v>23299</v>
      </c>
      <c r="H8" s="9">
        <v>32886</v>
      </c>
      <c r="I8" s="9">
        <v>166984</v>
      </c>
      <c r="J8" s="9">
        <v>107101</v>
      </c>
      <c r="K8" s="9">
        <v>89697</v>
      </c>
      <c r="L8" s="9">
        <f t="shared" si="0"/>
        <v>754350</v>
      </c>
    </row>
    <row r="9" spans="1:12" x14ac:dyDescent="0.2">
      <c r="B9" s="73" t="s">
        <v>61</v>
      </c>
      <c r="C9" s="9">
        <v>0</v>
      </c>
      <c r="D9" s="9">
        <v>0</v>
      </c>
      <c r="E9" s="9">
        <v>0</v>
      </c>
      <c r="F9" s="9">
        <v>17468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f t="shared" si="0"/>
        <v>17468</v>
      </c>
    </row>
    <row r="10" spans="1:12" x14ac:dyDescent="0.2">
      <c r="B10" s="73" t="s">
        <v>3</v>
      </c>
      <c r="C10" s="9">
        <v>8085</v>
      </c>
      <c r="D10" s="9">
        <v>81081</v>
      </c>
      <c r="E10" s="9">
        <v>58117</v>
      </c>
      <c r="F10" s="9">
        <v>37024</v>
      </c>
      <c r="G10" s="9">
        <v>32124</v>
      </c>
      <c r="H10" s="9">
        <v>18414</v>
      </c>
      <c r="I10" s="9">
        <v>117129</v>
      </c>
      <c r="J10" s="9">
        <v>45321</v>
      </c>
      <c r="K10" s="9">
        <v>33126</v>
      </c>
      <c r="L10" s="9">
        <f t="shared" si="0"/>
        <v>430421</v>
      </c>
    </row>
    <row r="11" spans="1:12" x14ac:dyDescent="0.2">
      <c r="B11" s="73" t="s">
        <v>4</v>
      </c>
      <c r="C11" s="9">
        <v>2130</v>
      </c>
      <c r="D11" s="9">
        <v>33448</v>
      </c>
      <c r="E11" s="9">
        <v>34982</v>
      </c>
      <c r="F11" s="9">
        <v>13950</v>
      </c>
      <c r="G11" s="9">
        <v>20116</v>
      </c>
      <c r="H11" s="9">
        <v>13093</v>
      </c>
      <c r="I11" s="9">
        <v>51266</v>
      </c>
      <c r="J11" s="9">
        <v>21077</v>
      </c>
      <c r="K11" s="9">
        <v>17475</v>
      </c>
      <c r="L11" s="9">
        <f t="shared" si="0"/>
        <v>207537</v>
      </c>
    </row>
    <row r="12" spans="1:12" x14ac:dyDescent="0.2">
      <c r="B12" s="73" t="s">
        <v>5</v>
      </c>
      <c r="C12" s="9">
        <v>887</v>
      </c>
      <c r="D12" s="9">
        <v>17428</v>
      </c>
      <c r="E12" s="9">
        <v>13352</v>
      </c>
      <c r="F12" s="9">
        <v>8414</v>
      </c>
      <c r="G12" s="9">
        <v>5479</v>
      </c>
      <c r="H12" s="9">
        <v>4063</v>
      </c>
      <c r="I12" s="9">
        <v>27173</v>
      </c>
      <c r="J12" s="9">
        <v>8641</v>
      </c>
      <c r="K12" s="9">
        <v>7141</v>
      </c>
      <c r="L12" s="9">
        <f t="shared" si="0"/>
        <v>92578</v>
      </c>
    </row>
    <row r="13" spans="1:12" x14ac:dyDescent="0.2">
      <c r="B13" s="73" t="s">
        <v>6</v>
      </c>
      <c r="C13" s="9">
        <v>2446</v>
      </c>
      <c r="D13" s="9">
        <v>32433</v>
      </c>
      <c r="E13" s="9">
        <v>24849</v>
      </c>
      <c r="F13" s="9">
        <v>15659</v>
      </c>
      <c r="G13" s="9">
        <v>12134</v>
      </c>
      <c r="H13" s="9">
        <v>6304</v>
      </c>
      <c r="I13" s="9">
        <v>52157</v>
      </c>
      <c r="J13" s="9">
        <v>16150</v>
      </c>
      <c r="K13" s="9">
        <v>13349</v>
      </c>
      <c r="L13" s="9">
        <f t="shared" si="0"/>
        <v>175481</v>
      </c>
    </row>
    <row r="14" spans="1:12" x14ac:dyDescent="0.2">
      <c r="B14" s="73" t="s">
        <v>7</v>
      </c>
      <c r="C14" s="9">
        <v>25200</v>
      </c>
      <c r="D14" s="9">
        <v>144000</v>
      </c>
      <c r="E14" s="9">
        <v>144000</v>
      </c>
      <c r="F14" s="9">
        <v>50400</v>
      </c>
      <c r="G14" s="9">
        <v>43200</v>
      </c>
      <c r="H14" s="9">
        <v>36000</v>
      </c>
      <c r="I14" s="9">
        <f>222000+21000</f>
        <v>243000</v>
      </c>
      <c r="J14" s="9">
        <v>36000</v>
      </c>
      <c r="K14" s="9">
        <v>28800</v>
      </c>
      <c r="L14" s="9">
        <f t="shared" si="0"/>
        <v>750600</v>
      </c>
    </row>
    <row r="15" spans="1:12" x14ac:dyDescent="0.2">
      <c r="B15" s="73" t="s">
        <v>67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430000</v>
      </c>
      <c r="J15" s="9">
        <v>0</v>
      </c>
      <c r="K15" s="9">
        <v>0</v>
      </c>
      <c r="L15" s="9">
        <f t="shared" si="0"/>
        <v>430000</v>
      </c>
    </row>
    <row r="16" spans="1:12" x14ac:dyDescent="0.2">
      <c r="B16" s="73" t="s">
        <v>68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1500</v>
      </c>
      <c r="J16" s="9">
        <v>0</v>
      </c>
      <c r="K16" s="9">
        <v>55000</v>
      </c>
      <c r="L16" s="9">
        <f t="shared" si="0"/>
        <v>56500</v>
      </c>
    </row>
    <row r="17" spans="2:13" x14ac:dyDescent="0.2">
      <c r="B17" s="73" t="s">
        <v>33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50000</v>
      </c>
      <c r="K17" s="9">
        <v>0</v>
      </c>
      <c r="L17" s="9">
        <f t="shared" si="0"/>
        <v>50000</v>
      </c>
    </row>
    <row r="18" spans="2:13" ht="13.5" thickBot="1" x14ac:dyDescent="0.25">
      <c r="B18" s="73"/>
      <c r="C18" s="10">
        <f>SUM(C6:C17)</f>
        <v>216090</v>
      </c>
      <c r="D18" s="10">
        <f t="shared" ref="D18:L18" si="1">SUM(D6:D17)</f>
        <v>1389479</v>
      </c>
      <c r="E18" s="10">
        <f t="shared" si="1"/>
        <v>1103599</v>
      </c>
      <c r="F18" s="10">
        <f t="shared" si="1"/>
        <v>631684</v>
      </c>
      <c r="G18" s="10">
        <f t="shared" si="1"/>
        <v>573866</v>
      </c>
      <c r="H18" s="10">
        <f t="shared" si="1"/>
        <v>358937</v>
      </c>
      <c r="I18" s="10">
        <f t="shared" si="1"/>
        <v>2730816</v>
      </c>
      <c r="J18" s="10">
        <f t="shared" si="1"/>
        <v>823109</v>
      </c>
      <c r="K18" s="10">
        <f t="shared" si="1"/>
        <v>626558</v>
      </c>
      <c r="L18" s="10">
        <f t="shared" si="1"/>
        <v>8454138</v>
      </c>
      <c r="M18" s="95">
        <f>SUM(L18/12422086)</f>
        <v>0.68057313401307962</v>
      </c>
    </row>
    <row r="19" spans="2:13" ht="5.25" customHeight="1" thickTop="1" x14ac:dyDescent="0.2">
      <c r="B19" s="73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2:13" x14ac:dyDescent="0.2">
      <c r="B20" s="73" t="s">
        <v>22</v>
      </c>
      <c r="C20" s="9">
        <v>22000</v>
      </c>
      <c r="D20" s="9">
        <v>0</v>
      </c>
      <c r="E20" s="9">
        <v>0</v>
      </c>
      <c r="F20" s="9">
        <v>0</v>
      </c>
      <c r="G20" s="9">
        <v>0</v>
      </c>
      <c r="H20" s="9">
        <v>4000</v>
      </c>
      <c r="I20" s="9">
        <v>19000</v>
      </c>
      <c r="J20" s="9">
        <v>10000</v>
      </c>
      <c r="K20" s="9">
        <v>12000</v>
      </c>
      <c r="L20" s="9">
        <f>SUM(C20:K20)</f>
        <v>67000</v>
      </c>
    </row>
    <row r="21" spans="2:13" x14ac:dyDescent="0.2">
      <c r="B21" s="73" t="s">
        <v>13</v>
      </c>
      <c r="C21" s="9">
        <v>11426</v>
      </c>
      <c r="D21" s="9">
        <v>0</v>
      </c>
      <c r="E21" s="9">
        <v>0</v>
      </c>
      <c r="F21" s="9">
        <v>0</v>
      </c>
      <c r="G21" s="9">
        <v>0</v>
      </c>
      <c r="H21" s="9">
        <v>21000</v>
      </c>
      <c r="I21" s="9">
        <v>58000</v>
      </c>
      <c r="J21" s="9">
        <f>35000-7000</f>
        <v>28000</v>
      </c>
      <c r="K21" s="9">
        <v>21000</v>
      </c>
      <c r="L21" s="9">
        <f>SUM(C21:K21)</f>
        <v>139426</v>
      </c>
    </row>
    <row r="22" spans="2:13" ht="13.5" thickBot="1" x14ac:dyDescent="0.25">
      <c r="B22" s="73"/>
      <c r="C22" s="10">
        <f>SUM(C20:C21)</f>
        <v>33426</v>
      </c>
      <c r="D22" s="10">
        <f t="shared" ref="D22:L22" si="2">SUM(D20:D21)</f>
        <v>0</v>
      </c>
      <c r="E22" s="10">
        <f t="shared" si="2"/>
        <v>0</v>
      </c>
      <c r="F22" s="10">
        <f t="shared" si="2"/>
        <v>0</v>
      </c>
      <c r="G22" s="10">
        <f t="shared" si="2"/>
        <v>0</v>
      </c>
      <c r="H22" s="10">
        <f t="shared" si="2"/>
        <v>25000</v>
      </c>
      <c r="I22" s="10">
        <f t="shared" si="2"/>
        <v>77000</v>
      </c>
      <c r="J22" s="10">
        <f t="shared" si="2"/>
        <v>38000</v>
      </c>
      <c r="K22" s="10">
        <f t="shared" si="2"/>
        <v>33000</v>
      </c>
      <c r="L22" s="10">
        <f t="shared" si="2"/>
        <v>206426</v>
      </c>
      <c r="M22" s="95">
        <f>SUM(L22/12422086)</f>
        <v>1.6617659868076909E-2</v>
      </c>
    </row>
    <row r="23" spans="2:13" ht="7.5" customHeight="1" thickTop="1" x14ac:dyDescent="0.2">
      <c r="B23" s="73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2:13" x14ac:dyDescent="0.2">
      <c r="B24" s="73" t="s">
        <v>72</v>
      </c>
      <c r="C24" s="9">
        <v>50992</v>
      </c>
      <c r="D24" s="9">
        <v>15000</v>
      </c>
      <c r="E24" s="9">
        <v>139341</v>
      </c>
      <c r="F24" s="9">
        <v>25000</v>
      </c>
      <c r="G24" s="9">
        <v>7200</v>
      </c>
      <c r="H24" s="9">
        <v>0</v>
      </c>
      <c r="I24" s="9">
        <v>0</v>
      </c>
      <c r="J24" s="9">
        <v>76000</v>
      </c>
      <c r="K24" s="9">
        <v>54000</v>
      </c>
      <c r="L24" s="9">
        <f t="shared" ref="L24:L26" si="3">SUM(C24:K24)</f>
        <v>367533</v>
      </c>
    </row>
    <row r="25" spans="2:13" x14ac:dyDescent="0.2">
      <c r="B25" s="73" t="s">
        <v>73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95000</v>
      </c>
      <c r="I25" s="9">
        <v>0</v>
      </c>
      <c r="J25" s="9">
        <v>33000</v>
      </c>
      <c r="K25" s="9">
        <v>0</v>
      </c>
      <c r="L25" s="9">
        <f t="shared" si="3"/>
        <v>128000</v>
      </c>
    </row>
    <row r="26" spans="2:13" x14ac:dyDescent="0.2">
      <c r="B26" s="73" t="s">
        <v>16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98576</v>
      </c>
      <c r="K26" s="9">
        <v>0</v>
      </c>
      <c r="L26" s="9">
        <f t="shared" si="3"/>
        <v>98576</v>
      </c>
    </row>
    <row r="27" spans="2:13" ht="13.5" thickBot="1" x14ac:dyDescent="0.25">
      <c r="B27" s="73"/>
      <c r="C27" s="10">
        <f>SUM(C24:C26)</f>
        <v>50992</v>
      </c>
      <c r="D27" s="10">
        <f t="shared" ref="D27:L27" si="4">SUM(D24:D26)</f>
        <v>15000</v>
      </c>
      <c r="E27" s="10">
        <f t="shared" si="4"/>
        <v>139341</v>
      </c>
      <c r="F27" s="10">
        <f t="shared" si="4"/>
        <v>25000</v>
      </c>
      <c r="G27" s="10">
        <f t="shared" si="4"/>
        <v>7200</v>
      </c>
      <c r="H27" s="10">
        <f t="shared" si="4"/>
        <v>95000</v>
      </c>
      <c r="I27" s="10">
        <f t="shared" si="4"/>
        <v>0</v>
      </c>
      <c r="J27" s="10">
        <f t="shared" si="4"/>
        <v>207576</v>
      </c>
      <c r="K27" s="10">
        <f t="shared" si="4"/>
        <v>54000</v>
      </c>
      <c r="L27" s="10">
        <f t="shared" si="4"/>
        <v>594109</v>
      </c>
      <c r="M27" s="95">
        <f>SUM(L27/12422086)</f>
        <v>4.7826830372934143E-2</v>
      </c>
    </row>
    <row r="28" spans="2:13" ht="5.25" customHeight="1" thickTop="1" x14ac:dyDescent="0.2">
      <c r="B28" s="73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2:13" x14ac:dyDescent="0.2">
      <c r="B29" s="73" t="s">
        <v>8</v>
      </c>
      <c r="C29" s="9">
        <v>2500</v>
      </c>
      <c r="D29" s="9">
        <v>83300</v>
      </c>
      <c r="E29" s="9">
        <v>50000</v>
      </c>
      <c r="F29" s="9">
        <v>35500</v>
      </c>
      <c r="G29" s="9">
        <v>14900</v>
      </c>
      <c r="H29" s="9">
        <v>13200</v>
      </c>
      <c r="I29" s="9">
        <v>58850</v>
      </c>
      <c r="J29" s="9">
        <v>71000</v>
      </c>
      <c r="K29" s="9">
        <v>66500</v>
      </c>
      <c r="L29" s="9">
        <f>SUM(C29:K29)</f>
        <v>395750</v>
      </c>
    </row>
    <row r="30" spans="2:13" x14ac:dyDescent="0.2">
      <c r="B30" s="73" t="s">
        <v>9</v>
      </c>
      <c r="C30" s="9">
        <v>600</v>
      </c>
      <c r="D30" s="9">
        <v>1000</v>
      </c>
      <c r="E30" s="9">
        <v>5000</v>
      </c>
      <c r="F30" s="9">
        <v>1500</v>
      </c>
      <c r="G30" s="9">
        <v>0</v>
      </c>
      <c r="H30" s="9">
        <v>2900</v>
      </c>
      <c r="I30" s="9">
        <v>6675</v>
      </c>
      <c r="J30" s="9">
        <v>5000</v>
      </c>
      <c r="K30" s="9">
        <v>9300</v>
      </c>
      <c r="L30" s="9">
        <f t="shared" ref="L30:L52" si="5">SUM(C30:K30)</f>
        <v>31975</v>
      </c>
    </row>
    <row r="31" spans="2:13" x14ac:dyDescent="0.2">
      <c r="B31" s="73" t="s">
        <v>36</v>
      </c>
      <c r="C31" s="9">
        <v>0</v>
      </c>
      <c r="D31" s="9">
        <v>15000</v>
      </c>
      <c r="E31" s="9">
        <v>15000</v>
      </c>
      <c r="F31" s="9">
        <v>8000</v>
      </c>
      <c r="G31" s="9">
        <v>10000</v>
      </c>
      <c r="H31" s="9">
        <v>1150</v>
      </c>
      <c r="I31" s="9">
        <v>51500</v>
      </c>
      <c r="J31" s="9">
        <v>0</v>
      </c>
      <c r="K31" s="9">
        <v>0</v>
      </c>
      <c r="L31" s="9">
        <f t="shared" si="5"/>
        <v>100650</v>
      </c>
    </row>
    <row r="32" spans="2:13" x14ac:dyDescent="0.2">
      <c r="B32" s="73" t="s">
        <v>71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5000</v>
      </c>
      <c r="J32" s="9">
        <v>0</v>
      </c>
      <c r="K32" s="9">
        <v>3000</v>
      </c>
      <c r="L32" s="9">
        <f t="shared" si="5"/>
        <v>8000</v>
      </c>
    </row>
    <row r="33" spans="2:12" x14ac:dyDescent="0.2">
      <c r="B33" s="73" t="s">
        <v>10</v>
      </c>
      <c r="C33" s="9">
        <v>0</v>
      </c>
      <c r="D33" s="9">
        <v>600</v>
      </c>
      <c r="E33" s="9">
        <v>0</v>
      </c>
      <c r="F33" s="9">
        <v>0</v>
      </c>
      <c r="G33" s="9">
        <v>0</v>
      </c>
      <c r="H33" s="9">
        <v>306960</v>
      </c>
      <c r="I33" s="9">
        <v>500</v>
      </c>
      <c r="J33" s="9">
        <v>3500</v>
      </c>
      <c r="K33" s="9">
        <v>0</v>
      </c>
      <c r="L33" s="9">
        <f t="shared" si="5"/>
        <v>311560</v>
      </c>
    </row>
    <row r="34" spans="2:12" x14ac:dyDescent="0.2">
      <c r="B34" s="73" t="s">
        <v>11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6000</v>
      </c>
      <c r="K34" s="9">
        <v>0</v>
      </c>
      <c r="L34" s="9">
        <f t="shared" si="5"/>
        <v>6000</v>
      </c>
    </row>
    <row r="35" spans="2:12" x14ac:dyDescent="0.2">
      <c r="B35" s="73" t="s">
        <v>12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1500</v>
      </c>
      <c r="L35" s="9">
        <f t="shared" si="5"/>
        <v>1500</v>
      </c>
    </row>
    <row r="36" spans="2:12" x14ac:dyDescent="0.2">
      <c r="B36" s="73" t="s">
        <v>34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100000</v>
      </c>
      <c r="I36" s="9">
        <v>8000</v>
      </c>
      <c r="J36" s="9">
        <v>1000</v>
      </c>
      <c r="K36" s="9">
        <v>0</v>
      </c>
      <c r="L36" s="9">
        <f t="shared" si="5"/>
        <v>109000</v>
      </c>
    </row>
    <row r="37" spans="2:12" x14ac:dyDescent="0.2">
      <c r="B37" s="73" t="s">
        <v>14</v>
      </c>
      <c r="C37" s="9">
        <v>0</v>
      </c>
      <c r="D37" s="9">
        <v>170000</v>
      </c>
      <c r="E37" s="9">
        <v>96580</v>
      </c>
      <c r="F37" s="9">
        <v>48000</v>
      </c>
      <c r="G37" s="9">
        <v>78000</v>
      </c>
      <c r="H37" s="9">
        <v>0</v>
      </c>
      <c r="I37" s="9">
        <v>0</v>
      </c>
      <c r="J37" s="9">
        <v>580000</v>
      </c>
      <c r="K37" s="9">
        <v>0</v>
      </c>
      <c r="L37" s="9">
        <f t="shared" si="5"/>
        <v>972580</v>
      </c>
    </row>
    <row r="38" spans="2:12" x14ac:dyDescent="0.2">
      <c r="B38" s="73" t="s">
        <v>15</v>
      </c>
      <c r="C38" s="9">
        <v>0</v>
      </c>
      <c r="D38" s="9">
        <v>13460</v>
      </c>
      <c r="E38" s="9">
        <v>22464</v>
      </c>
      <c r="F38" s="9">
        <v>5000</v>
      </c>
      <c r="G38" s="9">
        <v>1920</v>
      </c>
      <c r="H38" s="9">
        <v>0</v>
      </c>
      <c r="I38" s="9">
        <v>500</v>
      </c>
      <c r="J38" s="9">
        <v>60000</v>
      </c>
      <c r="K38" s="9">
        <v>3000</v>
      </c>
      <c r="L38" s="9">
        <f t="shared" si="5"/>
        <v>106344</v>
      </c>
    </row>
    <row r="39" spans="2:12" x14ac:dyDescent="0.2">
      <c r="B39" s="73" t="s">
        <v>23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9000</v>
      </c>
      <c r="L39" s="9">
        <f t="shared" si="5"/>
        <v>9000</v>
      </c>
    </row>
    <row r="40" spans="2:12" x14ac:dyDescent="0.2">
      <c r="B40" s="73" t="s">
        <v>24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2000</v>
      </c>
      <c r="J40" s="9">
        <v>0</v>
      </c>
      <c r="K40" s="9">
        <v>0</v>
      </c>
      <c r="L40" s="9">
        <f t="shared" si="5"/>
        <v>2000</v>
      </c>
    </row>
    <row r="41" spans="2:12" x14ac:dyDescent="0.2">
      <c r="B41" s="73" t="s">
        <v>52</v>
      </c>
      <c r="C41" s="9">
        <v>65493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5"/>
        <v>65493</v>
      </c>
    </row>
    <row r="42" spans="2:12" x14ac:dyDescent="0.2">
      <c r="B42" s="73" t="s">
        <v>69</v>
      </c>
      <c r="C42" s="9">
        <v>0</v>
      </c>
      <c r="D42" s="9">
        <v>40000</v>
      </c>
      <c r="E42" s="9">
        <v>27000</v>
      </c>
      <c r="F42" s="9">
        <v>17000</v>
      </c>
      <c r="G42" s="9">
        <v>9250</v>
      </c>
      <c r="H42" s="9">
        <v>0</v>
      </c>
      <c r="I42" s="9">
        <v>1000</v>
      </c>
      <c r="J42" s="9">
        <v>217500</v>
      </c>
      <c r="K42" s="9">
        <v>0</v>
      </c>
      <c r="L42" s="9">
        <f t="shared" si="5"/>
        <v>311750</v>
      </c>
    </row>
    <row r="43" spans="2:12" x14ac:dyDescent="0.2">
      <c r="B43" s="73" t="s">
        <v>27</v>
      </c>
      <c r="C43" s="9">
        <v>14001</v>
      </c>
      <c r="D43" s="9">
        <v>1100</v>
      </c>
      <c r="E43" s="9">
        <v>600</v>
      </c>
      <c r="F43" s="9">
        <v>0</v>
      </c>
      <c r="G43" s="9">
        <v>0</v>
      </c>
      <c r="H43" s="9">
        <v>949</v>
      </c>
      <c r="I43" s="9">
        <v>6246</v>
      </c>
      <c r="J43" s="9">
        <v>4800</v>
      </c>
      <c r="K43" s="9">
        <v>1425</v>
      </c>
      <c r="L43" s="9">
        <f t="shared" si="5"/>
        <v>29121</v>
      </c>
    </row>
    <row r="44" spans="2:12" x14ac:dyDescent="0.2">
      <c r="B44" s="73" t="s">
        <v>25</v>
      </c>
      <c r="C44" s="9">
        <v>0</v>
      </c>
      <c r="D44" s="9">
        <v>28840</v>
      </c>
      <c r="E44" s="9">
        <v>14420</v>
      </c>
      <c r="F44" s="9">
        <v>10240</v>
      </c>
      <c r="G44" s="9">
        <v>9320</v>
      </c>
      <c r="H44" s="9">
        <v>0</v>
      </c>
      <c r="I44" s="9">
        <v>500</v>
      </c>
      <c r="J44" s="9">
        <v>0</v>
      </c>
      <c r="K44" s="9">
        <v>47820</v>
      </c>
      <c r="L44" s="9">
        <f t="shared" si="5"/>
        <v>111140</v>
      </c>
    </row>
    <row r="45" spans="2:12" x14ac:dyDescent="0.2">
      <c r="B45" s="73" t="s">
        <v>70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1000</v>
      </c>
      <c r="J45" s="9">
        <v>0</v>
      </c>
      <c r="K45" s="9">
        <v>15000</v>
      </c>
      <c r="L45" s="9">
        <f t="shared" si="5"/>
        <v>16000</v>
      </c>
    </row>
    <row r="46" spans="2:12" x14ac:dyDescent="0.2">
      <c r="B46" s="73" t="s">
        <v>21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65000</v>
      </c>
      <c r="L46" s="9">
        <f t="shared" si="5"/>
        <v>65000</v>
      </c>
    </row>
    <row r="47" spans="2:12" x14ac:dyDescent="0.2">
      <c r="B47" s="73" t="s">
        <v>26</v>
      </c>
      <c r="C47" s="9">
        <v>0</v>
      </c>
      <c r="D47" s="9">
        <v>17500</v>
      </c>
      <c r="E47" s="9">
        <v>10000</v>
      </c>
      <c r="F47" s="9">
        <v>9000</v>
      </c>
      <c r="G47" s="9">
        <v>5000</v>
      </c>
      <c r="H47" s="9">
        <v>0</v>
      </c>
      <c r="I47" s="9">
        <v>17000</v>
      </c>
      <c r="J47" s="9">
        <v>25000</v>
      </c>
      <c r="K47" s="9">
        <v>0</v>
      </c>
      <c r="L47" s="9">
        <f t="shared" si="5"/>
        <v>83500</v>
      </c>
    </row>
    <row r="48" spans="2:12" x14ac:dyDescent="0.2">
      <c r="B48" s="73" t="s">
        <v>64</v>
      </c>
      <c r="C48" s="9">
        <v>30000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15000</v>
      </c>
      <c r="J48" s="9">
        <f>60000-21000-5000</f>
        <v>34000</v>
      </c>
      <c r="K48" s="9">
        <v>7000</v>
      </c>
      <c r="L48" s="9">
        <f t="shared" si="5"/>
        <v>86000</v>
      </c>
    </row>
    <row r="49" spans="2:13" x14ac:dyDescent="0.2">
      <c r="B49" s="73" t="s">
        <v>35</v>
      </c>
      <c r="C49" s="9">
        <v>30000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f t="shared" si="5"/>
        <v>30000</v>
      </c>
    </row>
    <row r="50" spans="2:13" x14ac:dyDescent="0.2">
      <c r="B50" s="73" t="s">
        <v>65</v>
      </c>
      <c r="C50" s="9">
        <v>25000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f t="shared" si="5"/>
        <v>25000</v>
      </c>
    </row>
    <row r="51" spans="2:13" x14ac:dyDescent="0.2">
      <c r="B51" s="73" t="s">
        <v>66</v>
      </c>
      <c r="C51" s="9">
        <v>50000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f t="shared" si="5"/>
        <v>50000</v>
      </c>
    </row>
    <row r="52" spans="2:13" x14ac:dyDescent="0.2">
      <c r="B52" s="73" t="s">
        <v>63</v>
      </c>
      <c r="C52" s="9">
        <v>12000</v>
      </c>
      <c r="D52" s="9">
        <v>7000</v>
      </c>
      <c r="E52" s="9">
        <v>2500</v>
      </c>
      <c r="F52" s="9">
        <v>1500</v>
      </c>
      <c r="G52" s="9">
        <v>0</v>
      </c>
      <c r="H52" s="9">
        <v>6000</v>
      </c>
      <c r="I52" s="9">
        <v>1000</v>
      </c>
      <c r="J52" s="9">
        <f>6350+5000</f>
        <v>11350</v>
      </c>
      <c r="K52" s="9">
        <v>5500</v>
      </c>
      <c r="L52" s="9">
        <f t="shared" si="5"/>
        <v>46850</v>
      </c>
    </row>
    <row r="53" spans="2:13" ht="13.5" thickBot="1" x14ac:dyDescent="0.25">
      <c r="B53" s="73"/>
      <c r="C53" s="10">
        <f t="shared" ref="C53:L53" si="6">SUM(C29:C52)</f>
        <v>229594</v>
      </c>
      <c r="D53" s="10">
        <f t="shared" si="6"/>
        <v>377800</v>
      </c>
      <c r="E53" s="10">
        <f t="shared" si="6"/>
        <v>243564</v>
      </c>
      <c r="F53" s="10">
        <f t="shared" si="6"/>
        <v>135740</v>
      </c>
      <c r="G53" s="10">
        <f t="shared" si="6"/>
        <v>128390</v>
      </c>
      <c r="H53" s="10">
        <f t="shared" si="6"/>
        <v>431159</v>
      </c>
      <c r="I53" s="10">
        <f t="shared" si="6"/>
        <v>174771</v>
      </c>
      <c r="J53" s="10">
        <f t="shared" si="6"/>
        <v>1019150</v>
      </c>
      <c r="K53" s="10">
        <f t="shared" si="6"/>
        <v>234045</v>
      </c>
      <c r="L53" s="10">
        <f t="shared" si="6"/>
        <v>2974213</v>
      </c>
      <c r="M53" s="95">
        <f>SUM(L53/12422086)</f>
        <v>0.23942943238357872</v>
      </c>
    </row>
    <row r="54" spans="2:13" ht="5.25" customHeight="1" thickTop="1" x14ac:dyDescent="0.2">
      <c r="B54" s="73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2:13" x14ac:dyDescent="0.2">
      <c r="B55" s="73" t="s">
        <v>75</v>
      </c>
      <c r="C55" s="9">
        <v>0</v>
      </c>
      <c r="D55" s="9">
        <v>19450</v>
      </c>
      <c r="E55" s="9">
        <v>2500</v>
      </c>
      <c r="F55" s="9">
        <v>0</v>
      </c>
      <c r="G55" s="9">
        <v>20000</v>
      </c>
      <c r="H55" s="9">
        <v>1000</v>
      </c>
      <c r="I55" s="9">
        <v>27000</v>
      </c>
      <c r="J55" s="9">
        <v>49000</v>
      </c>
      <c r="K55" s="9">
        <v>3000</v>
      </c>
      <c r="L55" s="9">
        <f t="shared" ref="L55:L57" si="7">SUM(C55:K55)</f>
        <v>121950</v>
      </c>
    </row>
    <row r="56" spans="2:13" x14ac:dyDescent="0.2">
      <c r="B56" s="73" t="s">
        <v>17</v>
      </c>
      <c r="C56" s="9">
        <v>0</v>
      </c>
      <c r="D56" s="9">
        <v>5000</v>
      </c>
      <c r="E56" s="9">
        <v>5000</v>
      </c>
      <c r="F56" s="9">
        <v>3500</v>
      </c>
      <c r="G56" s="9">
        <v>0</v>
      </c>
      <c r="H56" s="9">
        <v>0</v>
      </c>
      <c r="I56" s="9">
        <v>36000</v>
      </c>
      <c r="J56" s="9">
        <v>6000</v>
      </c>
      <c r="K56" s="9">
        <v>4000</v>
      </c>
      <c r="L56" s="9">
        <f t="shared" si="7"/>
        <v>59500</v>
      </c>
    </row>
    <row r="57" spans="2:13" x14ac:dyDescent="0.2">
      <c r="B57" s="73" t="s">
        <v>18</v>
      </c>
      <c r="C57" s="9">
        <v>0</v>
      </c>
      <c r="D57" s="9">
        <v>2000</v>
      </c>
      <c r="E57" s="9">
        <v>5000</v>
      </c>
      <c r="F57" s="9">
        <v>2000</v>
      </c>
      <c r="G57" s="9">
        <v>0</v>
      </c>
      <c r="H57" s="9">
        <v>2000</v>
      </c>
      <c r="I57" s="9">
        <v>750</v>
      </c>
      <c r="J57" s="9">
        <v>0</v>
      </c>
      <c r="K57" s="9">
        <v>0</v>
      </c>
      <c r="L57" s="9">
        <f t="shared" si="7"/>
        <v>11750</v>
      </c>
    </row>
    <row r="58" spans="2:13" ht="13.5" thickBot="1" x14ac:dyDescent="0.25">
      <c r="C58" s="10">
        <f t="shared" ref="C58:L58" si="8">SUM(C55:C57)</f>
        <v>0</v>
      </c>
      <c r="D58" s="10">
        <f t="shared" si="8"/>
        <v>26450</v>
      </c>
      <c r="E58" s="10">
        <f t="shared" si="8"/>
        <v>12500</v>
      </c>
      <c r="F58" s="10">
        <f t="shared" si="8"/>
        <v>5500</v>
      </c>
      <c r="G58" s="10">
        <f t="shared" si="8"/>
        <v>20000</v>
      </c>
      <c r="H58" s="10">
        <f t="shared" si="8"/>
        <v>3000</v>
      </c>
      <c r="I58" s="10">
        <f t="shared" si="8"/>
        <v>63750</v>
      </c>
      <c r="J58" s="10">
        <f t="shared" si="8"/>
        <v>55000</v>
      </c>
      <c r="K58" s="10">
        <f t="shared" si="8"/>
        <v>7000</v>
      </c>
      <c r="L58" s="10">
        <f t="shared" si="8"/>
        <v>193200</v>
      </c>
      <c r="M58" s="96">
        <f>SUM(L58/12422086)</f>
        <v>1.555294336233061E-2</v>
      </c>
    </row>
    <row r="59" spans="2:13" ht="24" customHeight="1" thickTop="1" thickBot="1" x14ac:dyDescent="0.25">
      <c r="C59" s="97">
        <f t="shared" ref="C59:L59" si="9">SUM(C18+C22+C27+C53+C58)</f>
        <v>530102</v>
      </c>
      <c r="D59" s="97">
        <f t="shared" si="9"/>
        <v>1808729</v>
      </c>
      <c r="E59" s="97">
        <f t="shared" si="9"/>
        <v>1499004</v>
      </c>
      <c r="F59" s="97">
        <f t="shared" si="9"/>
        <v>797924</v>
      </c>
      <c r="G59" s="97">
        <f t="shared" si="9"/>
        <v>729456</v>
      </c>
      <c r="H59" s="97">
        <f t="shared" si="9"/>
        <v>913096</v>
      </c>
      <c r="I59" s="97">
        <f t="shared" si="9"/>
        <v>3046337</v>
      </c>
      <c r="J59" s="97">
        <f t="shared" si="9"/>
        <v>2142835</v>
      </c>
      <c r="K59" s="97">
        <f t="shared" si="9"/>
        <v>954603</v>
      </c>
      <c r="L59" s="97">
        <f t="shared" si="9"/>
        <v>12422086</v>
      </c>
      <c r="M59" s="95">
        <f>SUM(M18:M58)</f>
        <v>1</v>
      </c>
    </row>
    <row r="60" spans="2:13" ht="14.25" thickTop="1" thickBot="1" x14ac:dyDescent="0.25">
      <c r="C60" s="98">
        <f>SUM(C59/L59)</f>
        <v>4.2674153117278367E-2</v>
      </c>
      <c r="D60" s="98">
        <f>SUM(D59/L59)</f>
        <v>0.14560589904143315</v>
      </c>
      <c r="E60" s="98">
        <f>SUM(E59/L59)</f>
        <v>0.12067248608647534</v>
      </c>
      <c r="F60" s="98">
        <f>SUM(F59/L59)</f>
        <v>6.4234300100643321E-2</v>
      </c>
      <c r="G60" s="98">
        <f>SUM(G59/L59)</f>
        <v>5.8722504416730006E-2</v>
      </c>
      <c r="H60" s="98">
        <f>SUM(H59/L59)</f>
        <v>7.3505850788667865E-2</v>
      </c>
      <c r="I60" s="98">
        <f>SUM(I59/L59)</f>
        <v>0.24523554256507321</v>
      </c>
      <c r="J60" s="98">
        <f>SUM(J59/L59)</f>
        <v>0.17250202582722418</v>
      </c>
      <c r="K60" s="98">
        <f>SUM(K59/L59)</f>
        <v>7.6847238056474573E-2</v>
      </c>
      <c r="L60" s="98">
        <f>SUM(L59/L59)</f>
        <v>1</v>
      </c>
      <c r="M60" s="99">
        <f>SUM(C60:K60)</f>
        <v>1</v>
      </c>
    </row>
    <row r="61" spans="2:13" ht="13.5" thickTop="1" x14ac:dyDescent="0.2">
      <c r="C61" s="11"/>
      <c r="D61" s="11"/>
      <c r="E61" s="11"/>
      <c r="F61" s="11"/>
      <c r="K61" s="11"/>
      <c r="L61" s="11"/>
    </row>
    <row r="62" spans="2:13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2:13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2:13" x14ac:dyDescent="0.2"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3:12" x14ac:dyDescent="0.2">
      <c r="C65" s="11"/>
      <c r="D65" s="11"/>
      <c r="E65" s="11"/>
      <c r="F65" s="11"/>
      <c r="G65" s="11"/>
      <c r="H65" s="11"/>
      <c r="I65" s="11"/>
      <c r="J65" s="11"/>
      <c r="K65" s="11"/>
      <c r="L65" s="11"/>
    </row>
  </sheetData>
  <mergeCells count="10">
    <mergeCell ref="I4:I5"/>
    <mergeCell ref="J4:J5"/>
    <mergeCell ref="K4:K5"/>
    <mergeCell ref="L4:L5"/>
    <mergeCell ref="C4:C5"/>
    <mergeCell ref="D4:D5"/>
    <mergeCell ref="E4:E5"/>
    <mergeCell ref="F4:F5"/>
    <mergeCell ref="G4:G5"/>
    <mergeCell ref="H4:H5"/>
  </mergeCells>
  <pageMargins left="0.5" right="0.24" top="0.3" bottom="0.18" header="0.34" footer="0.17"/>
  <pageSetup scale="72" orientation="portrait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0"/>
  <sheetViews>
    <sheetView zoomScale="125" zoomScaleNormal="125" zoomScalePageLayoutView="125" workbookViewId="0">
      <pane xSplit="2" ySplit="5" topLeftCell="AP45" activePane="bottomRight" state="frozen"/>
      <selection pane="topRight" activeCell="C1" sqref="C1"/>
      <selection pane="bottomLeft" activeCell="A6" sqref="A6"/>
      <selection pane="bottomRight" activeCell="BF25" sqref="BF25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9.7109375" style="2" customWidth="1"/>
    <col min="4" max="4" width="1.7109375" style="2" customWidth="1"/>
    <col min="5" max="5" width="9.7109375" style="2" customWidth="1"/>
    <col min="6" max="6" width="1.7109375" style="2" customWidth="1"/>
    <col min="7" max="11" width="9.7109375" style="2" customWidth="1"/>
    <col min="12" max="12" width="1.7109375" style="2" customWidth="1"/>
    <col min="13" max="16" width="9.7109375" style="2" customWidth="1"/>
    <col min="17" max="17" width="1.7109375" style="2" customWidth="1"/>
    <col min="18" max="18" width="9.7109375" style="2" customWidth="1"/>
    <col min="19" max="19" width="9.28515625" style="2" customWidth="1"/>
    <col min="20" max="21" width="9.42578125" style="2" customWidth="1"/>
    <col min="22" max="22" width="10.42578125" style="2" customWidth="1"/>
    <col min="23" max="23" width="9.42578125" style="2" customWidth="1"/>
    <col min="24" max="24" width="10" style="2" bestFit="1" customWidth="1"/>
    <col min="25" max="25" width="11" style="2" bestFit="1" customWidth="1"/>
    <col min="26" max="26" width="10.28515625" style="2" customWidth="1"/>
    <col min="27" max="27" width="1.42578125" style="2" customWidth="1"/>
    <col min="28" max="28" width="8.42578125" style="2" customWidth="1"/>
    <col min="29" max="29" width="8.7109375" style="2" customWidth="1"/>
    <col min="30" max="30" width="9.42578125" style="2" customWidth="1"/>
    <col min="31" max="31" width="10.28515625" style="2" customWidth="1"/>
    <col min="32" max="32" width="11.28515625" style="2" customWidth="1"/>
    <col min="33" max="33" width="1.7109375" style="2" customWidth="1"/>
    <col min="34" max="34" width="9.28515625" style="2" customWidth="1"/>
    <col min="35" max="35" width="9.42578125" style="2" customWidth="1"/>
    <col min="36" max="36" width="8.7109375" style="2" customWidth="1"/>
    <col min="37" max="40" width="8.28515625" style="2" customWidth="1"/>
    <col min="41" max="41" width="10.140625" style="2" customWidth="1"/>
    <col min="42" max="42" width="10.7109375" style="2" bestFit="1" customWidth="1"/>
    <col min="43" max="43" width="1.42578125" style="2" customWidth="1"/>
    <col min="44" max="44" width="11.28515625" style="2" customWidth="1"/>
    <col min="45" max="45" width="11.42578125" style="2" customWidth="1"/>
    <col min="46" max="46" width="10" style="2" customWidth="1"/>
    <col min="47" max="258" width="11.42578125" style="2" customWidth="1"/>
    <col min="259" max="16384" width="8.85546875" style="2"/>
  </cols>
  <sheetData>
    <row r="1" spans="1:45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45" x14ac:dyDescent="0.2">
      <c r="A2" s="4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M2" s="6"/>
      <c r="N2" s="6"/>
      <c r="O2" s="6"/>
      <c r="P2" s="6"/>
    </row>
    <row r="3" spans="1:45" ht="15.75" customHeight="1" x14ac:dyDescent="0.2">
      <c r="A3" s="3" t="s">
        <v>82</v>
      </c>
      <c r="B3" s="6"/>
      <c r="C3" s="15" t="s">
        <v>47</v>
      </c>
      <c r="D3" s="19"/>
      <c r="E3" s="138" t="s">
        <v>157</v>
      </c>
      <c r="F3" s="19"/>
      <c r="G3" s="347" t="s">
        <v>62</v>
      </c>
      <c r="H3" s="347"/>
      <c r="I3" s="347"/>
      <c r="J3" s="347"/>
      <c r="K3" s="347"/>
      <c r="L3" s="19"/>
      <c r="M3" s="347" t="s">
        <v>54</v>
      </c>
      <c r="N3" s="347"/>
      <c r="O3" s="347"/>
      <c r="P3" s="347"/>
      <c r="Q3" s="19"/>
      <c r="R3" s="347" t="s">
        <v>55</v>
      </c>
      <c r="S3" s="347"/>
      <c r="T3" s="347"/>
      <c r="U3" s="347"/>
      <c r="V3" s="347"/>
      <c r="W3" s="347"/>
      <c r="X3" s="347"/>
      <c r="Y3" s="347"/>
      <c r="Z3" s="347"/>
      <c r="AA3" s="19"/>
      <c r="AB3" s="347" t="s">
        <v>56</v>
      </c>
      <c r="AC3" s="347"/>
      <c r="AD3" s="347"/>
      <c r="AE3" s="347"/>
      <c r="AF3" s="347"/>
      <c r="AG3" s="19"/>
      <c r="AH3" s="347" t="s">
        <v>57</v>
      </c>
      <c r="AI3" s="347"/>
      <c r="AJ3" s="347"/>
      <c r="AK3" s="347"/>
      <c r="AL3" s="347"/>
      <c r="AM3" s="347"/>
      <c r="AN3" s="347"/>
      <c r="AO3" s="347"/>
      <c r="AP3" s="347"/>
      <c r="AR3" s="345" t="s">
        <v>45</v>
      </c>
    </row>
    <row r="4" spans="1:45" ht="15.75" customHeight="1" x14ac:dyDescent="0.2">
      <c r="A4" s="3"/>
      <c r="B4" s="6"/>
      <c r="C4" s="7">
        <v>151</v>
      </c>
      <c r="E4" s="7"/>
      <c r="G4" s="7">
        <v>20</v>
      </c>
      <c r="H4" s="7">
        <v>30</v>
      </c>
      <c r="I4" s="7">
        <v>40</v>
      </c>
      <c r="J4" s="7">
        <v>50</v>
      </c>
      <c r="K4" s="342" t="s">
        <v>37</v>
      </c>
      <c r="M4" s="7">
        <v>251</v>
      </c>
      <c r="N4" s="7">
        <v>152</v>
      </c>
      <c r="O4" s="7">
        <v>272</v>
      </c>
      <c r="P4" s="346" t="s">
        <v>37</v>
      </c>
      <c r="R4" s="7">
        <v>201</v>
      </c>
      <c r="S4" s="7">
        <v>211</v>
      </c>
      <c r="T4" s="7">
        <v>212</v>
      </c>
      <c r="U4" s="7">
        <v>213</v>
      </c>
      <c r="V4" s="7">
        <v>214</v>
      </c>
      <c r="W4" s="7">
        <v>215</v>
      </c>
      <c r="X4" s="7">
        <v>218</v>
      </c>
      <c r="Y4" s="7">
        <v>271</v>
      </c>
      <c r="Z4" s="346" t="s">
        <v>37</v>
      </c>
      <c r="AB4" s="7">
        <v>191</v>
      </c>
      <c r="AC4" s="7">
        <v>153</v>
      </c>
      <c r="AD4" s="7">
        <v>163</v>
      </c>
      <c r="AE4" s="7">
        <v>371</v>
      </c>
      <c r="AF4" s="346" t="s">
        <v>37</v>
      </c>
      <c r="AH4" s="7">
        <v>301</v>
      </c>
      <c r="AI4" s="7">
        <v>311</v>
      </c>
      <c r="AJ4" s="7">
        <v>312</v>
      </c>
      <c r="AK4" s="7">
        <v>313</v>
      </c>
      <c r="AL4" s="7">
        <v>314</v>
      </c>
      <c r="AM4" s="7">
        <v>315</v>
      </c>
      <c r="AN4" s="7"/>
      <c r="AO4" s="7">
        <v>401</v>
      </c>
      <c r="AP4" s="346" t="s">
        <v>37</v>
      </c>
      <c r="AQ4" s="7"/>
      <c r="AR4" s="345"/>
    </row>
    <row r="5" spans="1:45" x14ac:dyDescent="0.2">
      <c r="A5" s="3"/>
      <c r="B5" s="6"/>
      <c r="C5" s="7" t="s">
        <v>47</v>
      </c>
      <c r="E5" s="7"/>
      <c r="G5" s="7" t="s">
        <v>48</v>
      </c>
      <c r="H5" s="7" t="s">
        <v>49</v>
      </c>
      <c r="I5" s="7" t="s">
        <v>50</v>
      </c>
      <c r="J5" s="7" t="s">
        <v>51</v>
      </c>
      <c r="K5" s="342"/>
      <c r="M5" s="7" t="s">
        <v>53</v>
      </c>
      <c r="N5" s="7" t="s">
        <v>19</v>
      </c>
      <c r="O5" s="7" t="s">
        <v>42</v>
      </c>
      <c r="P5" s="342"/>
      <c r="R5" s="7" t="s">
        <v>29</v>
      </c>
      <c r="S5" s="7" t="s">
        <v>38</v>
      </c>
      <c r="T5" s="7" t="s">
        <v>30</v>
      </c>
      <c r="U5" s="7" t="s">
        <v>1</v>
      </c>
      <c r="V5" s="7" t="s">
        <v>39</v>
      </c>
      <c r="W5" s="7" t="s">
        <v>40</v>
      </c>
      <c r="X5" s="7" t="s">
        <v>74</v>
      </c>
      <c r="Y5" s="7" t="s">
        <v>41</v>
      </c>
      <c r="Z5" s="342"/>
      <c r="AB5" s="7" t="s">
        <v>28</v>
      </c>
      <c r="AC5" s="7" t="s">
        <v>20</v>
      </c>
      <c r="AD5" s="7" t="s">
        <v>32</v>
      </c>
      <c r="AE5" s="7" t="s">
        <v>31</v>
      </c>
      <c r="AF5" s="342"/>
      <c r="AH5" s="7" t="s">
        <v>84</v>
      </c>
      <c r="AI5" s="7" t="s">
        <v>43</v>
      </c>
      <c r="AJ5" s="7" t="s">
        <v>44</v>
      </c>
      <c r="AK5" s="7" t="s">
        <v>2</v>
      </c>
      <c r="AL5" s="7" t="s">
        <v>76</v>
      </c>
      <c r="AM5" s="7" t="s">
        <v>4</v>
      </c>
      <c r="AN5" s="7" t="s">
        <v>85</v>
      </c>
      <c r="AO5" s="7" t="s">
        <v>77</v>
      </c>
      <c r="AP5" s="342"/>
      <c r="AQ5" s="7"/>
      <c r="AR5" s="345"/>
    </row>
    <row r="6" spans="1:45" x14ac:dyDescent="0.2">
      <c r="B6" s="8" t="s">
        <v>58</v>
      </c>
      <c r="C6" s="9">
        <f>+'2022'!C6</f>
        <v>231578.75312775717</v>
      </c>
      <c r="D6" s="11"/>
      <c r="E6" s="9" t="e">
        <f>+#REF!</f>
        <v>#REF!</v>
      </c>
      <c r="F6" s="11"/>
      <c r="G6" s="9">
        <f>+'[42]2017'!$H$6</f>
        <v>972991.26467399264</v>
      </c>
      <c r="H6" s="9">
        <f>+'[43]2017'!$H$6</f>
        <v>782836</v>
      </c>
      <c r="I6" s="9">
        <f>+'[44]2017'!$H$6</f>
        <v>541309.80000000005</v>
      </c>
      <c r="J6" s="9">
        <f>+'[45]2017'!$H$6</f>
        <v>398674</v>
      </c>
      <c r="K6" s="9">
        <f>SUM(G6:J6)</f>
        <v>2695811.0646739928</v>
      </c>
      <c r="L6" s="11"/>
      <c r="M6" s="9">
        <f>+'[46]2017-IEQA'!$D$6</f>
        <v>47630</v>
      </c>
      <c r="N6" s="9">
        <f>+'[46]2017-IEQA'!$E$6</f>
        <v>64216.9649752728</v>
      </c>
      <c r="O6" s="9">
        <f>+'[46]2017-IEQA'!$F$6</f>
        <v>125023.14416633506</v>
      </c>
      <c r="P6" s="9">
        <f>SUM(M6:O6)</f>
        <v>236870.10914160786</v>
      </c>
      <c r="Q6" s="11"/>
      <c r="R6" s="9">
        <f>+'[47]2017'!$D$6</f>
        <v>108031</v>
      </c>
      <c r="S6" s="9">
        <f>+'[47]2017'!$E$6</f>
        <v>155990</v>
      </c>
      <c r="T6" s="9">
        <f>+'[47]2017'!$F$6</f>
        <v>201288</v>
      </c>
      <c r="U6" s="9">
        <f>+'[47]2017'!$G$6</f>
        <v>183793</v>
      </c>
      <c r="V6" s="9">
        <f>+'[47]2017'!$H$6</f>
        <v>447868.68800000002</v>
      </c>
      <c r="W6" s="9">
        <f>+'[47]2017'!$I$6</f>
        <v>251561.56707604165</v>
      </c>
      <c r="X6" s="9">
        <f>+'[47]2017'!$J$6</f>
        <v>121573.56826095356</v>
      </c>
      <c r="Y6" s="9">
        <f>+'[47]2017'!$L$6</f>
        <v>188684</v>
      </c>
      <c r="Z6" s="9">
        <f t="shared" ref="Z6" si="0">SUM(R6:Y6)</f>
        <v>1658789.8233369952</v>
      </c>
      <c r="AA6" s="11"/>
      <c r="AB6" s="9">
        <f>+'[48]2017'!$D$6</f>
        <v>93777.846091119776</v>
      </c>
      <c r="AC6" s="9">
        <f>+'[48]2017'!$E$6</f>
        <v>61626.905362685691</v>
      </c>
      <c r="AD6" s="9">
        <f>+'[48]2017'!$F$6</f>
        <v>136077.39320839624</v>
      </c>
      <c r="AE6" s="9">
        <f>+'[48]2017'!$G$6</f>
        <v>335187.57999999996</v>
      </c>
      <c r="AF6" s="9">
        <f t="shared" ref="AF6" si="1">SUM(AB6:AE6)</f>
        <v>626669.72466220171</v>
      </c>
      <c r="AG6" s="11"/>
      <c r="AH6" s="9">
        <f>+'[49]2017'!$D$6</f>
        <v>59117</v>
      </c>
      <c r="AI6" s="9">
        <f>+'[49]2017'!$E$6</f>
        <v>85051.197558935077</v>
      </c>
      <c r="AJ6" s="9">
        <f>+'[49]2017'!$F$6</f>
        <v>115617</v>
      </c>
      <c r="AK6" s="9">
        <f>+'[49]2017'!$G$6</f>
        <v>57422.447960306265</v>
      </c>
      <c r="AL6" s="9">
        <f>+'[49]2017'!$H$6</f>
        <v>48954</v>
      </c>
      <c r="AM6" s="9">
        <f>+'[49]2017'!$I$6</f>
        <v>21635</v>
      </c>
      <c r="AN6" s="9">
        <v>0</v>
      </c>
      <c r="AO6" s="9">
        <f>+'[49]2017'!$K$6</f>
        <v>66577</v>
      </c>
      <c r="AP6" s="9">
        <f t="shared" ref="AP6" si="2">SUM(AH6:AO6)</f>
        <v>454373.64551924134</v>
      </c>
      <c r="AQ6" s="11"/>
      <c r="AR6" s="9" t="e">
        <f>SUM(C6+K6+P6+Z6+AF6+AP6+E6)</f>
        <v>#REF!</v>
      </c>
      <c r="AS6" s="8" t="s">
        <v>58</v>
      </c>
    </row>
    <row r="7" spans="1:45" x14ac:dyDescent="0.2">
      <c r="B7" s="8" t="s">
        <v>59</v>
      </c>
      <c r="C7" s="9">
        <f>+'2022'!C7</f>
        <v>2410.897691246766</v>
      </c>
      <c r="D7" s="11"/>
      <c r="E7" s="9" t="e">
        <f>+#REF!</f>
        <v>#REF!</v>
      </c>
      <c r="F7" s="11"/>
      <c r="G7" s="9">
        <f>+'[42]2017'!$H$7</f>
        <v>24836.084249084255</v>
      </c>
      <c r="H7" s="9">
        <f>+'[43]2017'!$H$7</f>
        <v>9682.1153846153829</v>
      </c>
      <c r="I7" s="9">
        <f>+'[44]2017'!$H$7</f>
        <v>13377.11538461539</v>
      </c>
      <c r="J7" s="9">
        <f>+'[45]2017'!$H$7</f>
        <v>10855.846153846156</v>
      </c>
      <c r="K7" s="9">
        <f t="shared" ref="K7:K17" si="3">SUM(G7:J7)</f>
        <v>58751.161172161184</v>
      </c>
      <c r="L7" s="11"/>
      <c r="M7" s="9">
        <f>+'[46]2017-IEQA'!$D$7</f>
        <v>1620.6923076923122</v>
      </c>
      <c r="N7" s="9">
        <f>+'[46]2017-IEQA'!$E$7</f>
        <v>818.18078825169505</v>
      </c>
      <c r="O7" s="9">
        <f>+'[46]2017-IEQA'!$F$7</f>
        <v>3534.9026619539964</v>
      </c>
      <c r="P7" s="9">
        <f t="shared" ref="P7:P17" si="4">SUM(M7:O7)</f>
        <v>5973.7757578980036</v>
      </c>
      <c r="Q7" s="11"/>
      <c r="R7" s="9">
        <f>+'[47]2017'!$D$7</f>
        <v>4525</v>
      </c>
      <c r="S7" s="9">
        <f>+'[47]2017'!$E$7</f>
        <v>5114.5769230769365</v>
      </c>
      <c r="T7" s="9">
        <f>+'[47]2017'!$F$7</f>
        <v>1886.2656242749672</v>
      </c>
      <c r="U7" s="9">
        <f>+'[47]2017'!$G$7</f>
        <v>5946.5</v>
      </c>
      <c r="V7" s="9">
        <f>+'[47]2017'!$H$7</f>
        <v>7558.3119999999763</v>
      </c>
      <c r="W7" s="9">
        <f>+'[47]2017'!$I$7</f>
        <v>5428.9576058418152</v>
      </c>
      <c r="X7" s="9">
        <f>+'[47]2017'!$J$7</f>
        <v>2997.4012207325577</v>
      </c>
      <c r="Y7" s="9">
        <f>+'[47]2017'!$L$7</f>
        <v>467.33076923076624</v>
      </c>
      <c r="Z7" s="9">
        <f t="shared" ref="Z7:Z17" si="5">SUM(R7:Y7)</f>
        <v>33924.344143157017</v>
      </c>
      <c r="AA7" s="11"/>
      <c r="AB7" s="9">
        <f>+'[48]2017'!$D$7</f>
        <v>2220.2219055538881</v>
      </c>
      <c r="AC7" s="9">
        <f>+'[48]2017'!$E$7</f>
        <v>1139</v>
      </c>
      <c r="AD7" s="9">
        <f>+'[48]2017'!$F$7</f>
        <v>3305.0015219229954</v>
      </c>
      <c r="AE7" s="9">
        <f>+'[48]2017'!$G$7</f>
        <v>8881.3461538461852</v>
      </c>
      <c r="AF7" s="9">
        <f t="shared" ref="AF7:AF17" si="6">SUM(AB7:AE7)</f>
        <v>15545.569581323069</v>
      </c>
      <c r="AG7" s="11"/>
      <c r="AH7" s="9">
        <f>+'[49]2017'!$D$7</f>
        <v>2635</v>
      </c>
      <c r="AI7" s="9">
        <f>+'[49]2017'!$E$7</f>
        <v>1905.5099455983873</v>
      </c>
      <c r="AJ7" s="9">
        <f>+'[49]2017'!$F$7</f>
        <v>1189.3461538461561</v>
      </c>
      <c r="AK7" s="9">
        <f>+'[49]2017'!$G$7</f>
        <v>286.01392706519982</v>
      </c>
      <c r="AL7" s="9">
        <f>+'[49]2017'!$H$7</f>
        <v>865.84615384615608</v>
      </c>
      <c r="AM7" s="9">
        <v>0</v>
      </c>
      <c r="AN7" s="9">
        <f>+'[49]2017'!$J$7</f>
        <v>1539</v>
      </c>
      <c r="AO7" s="9">
        <f>+'[49]2017'!$K$7</f>
        <v>1951.1538461538439</v>
      </c>
      <c r="AP7" s="9">
        <f t="shared" ref="AP7:AP17" si="7">SUM(AH7:AO7)</f>
        <v>10371.870026509743</v>
      </c>
      <c r="AQ7" s="11"/>
      <c r="AR7" s="9" t="e">
        <f t="shared" ref="AR7:AR17" si="8">SUM(C7+K7+P7+Z7+AF7+AP7+E7)</f>
        <v>#REF!</v>
      </c>
      <c r="AS7" s="8" t="s">
        <v>59</v>
      </c>
    </row>
    <row r="8" spans="1:45" x14ac:dyDescent="0.2">
      <c r="B8" s="8" t="s">
        <v>60</v>
      </c>
      <c r="C8" s="9">
        <f>+'2022'!C8</f>
        <v>0</v>
      </c>
      <c r="D8" s="11"/>
      <c r="E8" s="9"/>
      <c r="F8" s="11"/>
      <c r="G8" s="9">
        <f>+'[42]2017'!$H$8</f>
        <v>82401.119999999995</v>
      </c>
      <c r="H8" s="9">
        <f>+'[43]2017'!$H$8</f>
        <v>35023</v>
      </c>
      <c r="I8" s="9">
        <f>+'[44]2017'!$H$8</f>
        <v>22929</v>
      </c>
      <c r="J8" s="9">
        <f>+'[45]2017'!$H$8</f>
        <v>76286</v>
      </c>
      <c r="K8" s="9">
        <f t="shared" si="3"/>
        <v>216639.12</v>
      </c>
      <c r="L8" s="11"/>
      <c r="M8" s="9">
        <f>+'[46]2017-IEQA'!$D$8</f>
        <v>35297</v>
      </c>
      <c r="N8" s="9">
        <v>0</v>
      </c>
      <c r="O8" s="9">
        <f>+'[46]2017-IEQA'!$F$8</f>
        <v>27595</v>
      </c>
      <c r="P8" s="9">
        <f t="shared" si="4"/>
        <v>62892</v>
      </c>
      <c r="Q8" s="11"/>
      <c r="R8" s="9">
        <f>+'[47]2017'!$D$8</f>
        <v>20584</v>
      </c>
      <c r="S8" s="9">
        <f>+'[47]2017'!$E$8</f>
        <v>17819</v>
      </c>
      <c r="T8" s="9">
        <f>+'[47]2017'!$F$8</f>
        <v>18728</v>
      </c>
      <c r="U8" s="9">
        <f>+'[47]2017'!$G$8</f>
        <v>18694</v>
      </c>
      <c r="V8" s="9">
        <f>+'[47]2017'!$H$8</f>
        <v>19880</v>
      </c>
      <c r="W8" s="9">
        <f>+'[47]2017'!$I$8</f>
        <v>30840.576923076922</v>
      </c>
      <c r="X8" s="9">
        <v>0</v>
      </c>
      <c r="Y8" s="9">
        <f>+'[47]2017'!$L$8</f>
        <v>6565</v>
      </c>
      <c r="Z8" s="9">
        <f t="shared" si="5"/>
        <v>133110.57692307694</v>
      </c>
      <c r="AA8" s="11"/>
      <c r="AB8" s="9">
        <v>0</v>
      </c>
      <c r="AC8" s="9">
        <f>+'[48]2017'!$E$8</f>
        <v>22340</v>
      </c>
      <c r="AD8" s="9">
        <f>+'[48]2017'!$F$8</f>
        <v>16428</v>
      </c>
      <c r="AE8" s="9">
        <f>+'[48]2017'!$G$8</f>
        <v>10950</v>
      </c>
      <c r="AF8" s="9">
        <f t="shared" si="6"/>
        <v>49718</v>
      </c>
      <c r="AG8" s="11"/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f>+'[49]2017'!$J$8</f>
        <v>30168</v>
      </c>
      <c r="AO8" s="9">
        <v>0</v>
      </c>
      <c r="AP8" s="9">
        <f t="shared" si="7"/>
        <v>30168</v>
      </c>
      <c r="AQ8" s="11"/>
      <c r="AR8" s="9">
        <f t="shared" si="8"/>
        <v>492527.69692307693</v>
      </c>
      <c r="AS8" s="8" t="s">
        <v>60</v>
      </c>
    </row>
    <row r="9" spans="1:45" x14ac:dyDescent="0.2">
      <c r="B9" s="8" t="s">
        <v>61</v>
      </c>
      <c r="C9" s="9">
        <f>+'2022'!C10</f>
        <v>0</v>
      </c>
      <c r="D9" s="11"/>
      <c r="E9" s="9"/>
      <c r="F9" s="11"/>
      <c r="G9" s="9">
        <v>0</v>
      </c>
      <c r="H9" s="9">
        <v>0</v>
      </c>
      <c r="I9" s="9">
        <v>0</v>
      </c>
      <c r="J9" s="9">
        <f>+'[45]2017'!$H$9</f>
        <v>12149</v>
      </c>
      <c r="K9" s="9">
        <f t="shared" si="3"/>
        <v>12149</v>
      </c>
      <c r="L9" s="11"/>
      <c r="M9" s="9">
        <v>0</v>
      </c>
      <c r="N9" s="9">
        <v>0</v>
      </c>
      <c r="O9" s="9">
        <v>0</v>
      </c>
      <c r="P9" s="9">
        <f t="shared" si="4"/>
        <v>0</v>
      </c>
      <c r="Q9" s="11"/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f t="shared" si="5"/>
        <v>0</v>
      </c>
      <c r="AA9" s="11"/>
      <c r="AB9" s="9">
        <v>0</v>
      </c>
      <c r="AC9" s="9">
        <v>0</v>
      </c>
      <c r="AD9" s="9">
        <v>0</v>
      </c>
      <c r="AE9" s="9">
        <v>0</v>
      </c>
      <c r="AF9" s="9">
        <f t="shared" si="6"/>
        <v>0</v>
      </c>
      <c r="AG9" s="11"/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f t="shared" si="7"/>
        <v>0</v>
      </c>
      <c r="AQ9" s="11"/>
      <c r="AR9" s="9">
        <f t="shared" si="8"/>
        <v>12149</v>
      </c>
      <c r="AS9" s="8" t="s">
        <v>61</v>
      </c>
    </row>
    <row r="10" spans="1:45" x14ac:dyDescent="0.2">
      <c r="B10" s="8" t="s">
        <v>3</v>
      </c>
      <c r="C10" s="9">
        <f>+'2022'!C11</f>
        <v>10252.185349886833</v>
      </c>
      <c r="D10" s="11"/>
      <c r="E10" s="9" t="e">
        <f>+#REF!</f>
        <v>#REF!</v>
      </c>
      <c r="F10" s="11"/>
      <c r="G10" s="9">
        <f>+'[42]2017'!$H$10</f>
        <v>62461.821715384613</v>
      </c>
      <c r="H10" s="9">
        <f>+'[43]2017'!$H$10</f>
        <v>60147.98365384616</v>
      </c>
      <c r="I10" s="9">
        <f>+'[44]2017'!$H$10</f>
        <v>40720.078269230769</v>
      </c>
      <c r="J10" s="9">
        <f>+'[45]2017'!$H$10</f>
        <v>34174.748076923075</v>
      </c>
      <c r="K10" s="9">
        <f t="shared" si="3"/>
        <v>197504.6317153846</v>
      </c>
      <c r="L10" s="11"/>
      <c r="M10" s="9">
        <f>+'[46]2017-IEQA'!$D$9</f>
        <v>4200</v>
      </c>
      <c r="N10" s="9">
        <f>+'[46]2017-IEQA'!$E$9</f>
        <v>4197.7032399566451</v>
      </c>
      <c r="O10" s="9">
        <f>+'[46]2017-IEQA'!$F$9</f>
        <v>10730.506078409669</v>
      </c>
      <c r="P10" s="9">
        <f t="shared" si="4"/>
        <v>19128.209318366316</v>
      </c>
      <c r="Q10" s="11"/>
      <c r="R10" s="9">
        <f>+'[47]2017'!$D$9</f>
        <v>52192.575000000004</v>
      </c>
      <c r="S10" s="9">
        <f>+'[47]2017'!$E$9</f>
        <v>10627.690384615384</v>
      </c>
      <c r="T10" s="9">
        <f>+'[47]2017'!$F$9</f>
        <v>15293.719921820624</v>
      </c>
      <c r="U10" s="9">
        <f>+'[47]2017'!$G$9</f>
        <v>14364.975</v>
      </c>
      <c r="V10" s="9">
        <f>+'[47]2017'!$H$9</f>
        <v>28943</v>
      </c>
      <c r="W10" s="9">
        <f>+'[47]2017'!$I$9</f>
        <v>21374.289351141255</v>
      </c>
      <c r="X10" s="9">
        <f>+'[47]2017'!$J$9</f>
        <v>9003.9</v>
      </c>
      <c r="Y10" s="9">
        <f>+'[47]2017'!$L$9</f>
        <v>14678.724807692308</v>
      </c>
      <c r="Z10" s="9">
        <f t="shared" si="5"/>
        <v>166478.87446526956</v>
      </c>
      <c r="AA10" s="11"/>
      <c r="AB10" s="9">
        <f>+'[48]2017'!$D$9</f>
        <v>5621.55</v>
      </c>
      <c r="AC10" s="9">
        <f>+'[48]2017'!$E$9</f>
        <v>5694.5179022014263</v>
      </c>
      <c r="AD10" s="9">
        <f>+'[48]2017'!$F$9</f>
        <v>11345.056526542216</v>
      </c>
      <c r="AE10" s="9">
        <f>+'[48]2017'!$G$9</f>
        <v>25634.169461538451</v>
      </c>
      <c r="AF10" s="9">
        <f t="shared" si="6"/>
        <v>48295.29389028209</v>
      </c>
      <c r="AG10" s="11"/>
      <c r="AH10" s="9">
        <f>+'[49]2017'!$D$9</f>
        <v>3246.3</v>
      </c>
      <c r="AI10" s="9">
        <f>+'[49]2017'!$E$9</f>
        <v>6243.7280628400104</v>
      </c>
      <c r="AJ10" s="9">
        <f>+'[49]2017'!$F$9</f>
        <v>8482.4509615384613</v>
      </c>
      <c r="AK10" s="9">
        <f>+'[49]2017'!$G$9</f>
        <v>4328.1346415528606</v>
      </c>
      <c r="AL10" s="9">
        <f>+'[49]2017'!$H$9</f>
        <v>3736.4884615384613</v>
      </c>
      <c r="AM10" s="9">
        <f>+'[49]2017'!$I$9</f>
        <v>1622.625</v>
      </c>
      <c r="AN10" s="9">
        <f>+'[49]2017'!$J$9</f>
        <v>2100</v>
      </c>
      <c r="AO10" s="9">
        <f>+'[49]2017'!$K$9</f>
        <v>5139.6115384615377</v>
      </c>
      <c r="AP10" s="9">
        <f t="shared" si="7"/>
        <v>34899.338665931333</v>
      </c>
      <c r="AQ10" s="11"/>
      <c r="AR10" s="9" t="e">
        <f t="shared" si="8"/>
        <v>#REF!</v>
      </c>
      <c r="AS10" s="8" t="s">
        <v>3</v>
      </c>
    </row>
    <row r="11" spans="1:45" x14ac:dyDescent="0.2">
      <c r="B11" s="8" t="s">
        <v>4</v>
      </c>
      <c r="C11" s="9">
        <f>+'2022'!C12</f>
        <v>3863.44</v>
      </c>
      <c r="D11" s="11"/>
      <c r="E11" s="9" t="e">
        <f>+#REF!</f>
        <v>#REF!</v>
      </c>
      <c r="F11" s="11"/>
      <c r="G11" s="9">
        <f>+'[42]2017'!$H$11</f>
        <v>35617.35</v>
      </c>
      <c r="H11" s="9">
        <f>+'[43]2017'!$H$11</f>
        <v>36322</v>
      </c>
      <c r="I11" s="9">
        <f>+'[44]2017'!$H$11</f>
        <v>13139.599999999999</v>
      </c>
      <c r="J11" s="9">
        <f>+'[45]2017'!$H$11</f>
        <v>21938.110000000004</v>
      </c>
      <c r="K11" s="9">
        <f t="shared" si="3"/>
        <v>107017.06000000001</v>
      </c>
      <c r="L11" s="11"/>
      <c r="M11" s="9">
        <f>+'[46]2017-IEQA'!$D$10</f>
        <v>752.96</v>
      </c>
      <c r="N11" s="9">
        <f>+'[46]2017-IEQA'!$E$10</f>
        <v>2771.6000000000004</v>
      </c>
      <c r="O11" s="9">
        <f>+'[46]2017-IEQA'!$F$10</f>
        <v>7287.7999999999984</v>
      </c>
      <c r="P11" s="9">
        <f t="shared" si="4"/>
        <v>10812.359999999999</v>
      </c>
      <c r="Q11" s="11"/>
      <c r="R11" s="9">
        <f>+'[47]2017'!$D$10</f>
        <v>3186.8</v>
      </c>
      <c r="S11" s="9">
        <f>+'[47]2017'!$E$10</f>
        <v>5582.24</v>
      </c>
      <c r="T11" s="9">
        <f>+'[47]2017'!$F$10</f>
        <v>4930.38</v>
      </c>
      <c r="U11" s="9">
        <f>+'[47]2017'!$G$10</f>
        <v>2132</v>
      </c>
      <c r="V11" s="9">
        <f>+'[47]2017'!$H$10</f>
        <v>11458</v>
      </c>
      <c r="W11" s="9">
        <f>+'[47]2017'!$I$10</f>
        <v>4243.46</v>
      </c>
      <c r="X11" s="9">
        <f>+'[47]2017'!$J$10</f>
        <v>1906.8400000000001</v>
      </c>
      <c r="Y11" s="9">
        <f>+'[47]2017'!$L$10</f>
        <v>9627</v>
      </c>
      <c r="Z11" s="9">
        <f t="shared" si="5"/>
        <v>43066.720000000001</v>
      </c>
      <c r="AA11" s="11"/>
      <c r="AB11" s="9">
        <f>+'[48]2017'!$D$10</f>
        <v>4158</v>
      </c>
      <c r="AC11" s="9">
        <f>+'[48]2017'!$E$10</f>
        <v>2456.7399999999998</v>
      </c>
      <c r="AD11" s="9">
        <f>+'[48]2017'!$F$10</f>
        <v>5904</v>
      </c>
      <c r="AE11" s="9">
        <f>+'[48]2017'!$G$10</f>
        <v>18741.579999999994</v>
      </c>
      <c r="AF11" s="9">
        <f t="shared" si="6"/>
        <v>31260.319999999992</v>
      </c>
      <c r="AG11" s="11"/>
      <c r="AH11" s="9">
        <f>+'[49]2017'!$D$10</f>
        <v>1092</v>
      </c>
      <c r="AI11" s="9">
        <f>+'[49]2017'!$E$10</f>
        <v>2496</v>
      </c>
      <c r="AJ11" s="9">
        <f>+'[49]2017'!$F$10</f>
        <v>3531</v>
      </c>
      <c r="AK11" s="9">
        <f>+'[49]2017'!$G$10</f>
        <v>2267.98</v>
      </c>
      <c r="AL11" s="9">
        <f>+'[49]2017'!$H$10</f>
        <v>2010.06</v>
      </c>
      <c r="AM11" s="9">
        <f>+'[49]2017'!$I$10</f>
        <v>1114.8800000000001</v>
      </c>
      <c r="AN11" s="9">
        <f>+'[49]2017'!$J$10</f>
        <v>226.72000000000003</v>
      </c>
      <c r="AO11" s="9">
        <f>+'[49]2017'!$K$10</f>
        <v>3094</v>
      </c>
      <c r="AP11" s="9">
        <f t="shared" si="7"/>
        <v>15832.639999999998</v>
      </c>
      <c r="AQ11" s="11"/>
      <c r="AR11" s="9" t="e">
        <f t="shared" si="8"/>
        <v>#REF!</v>
      </c>
      <c r="AS11" s="8" t="s">
        <v>4</v>
      </c>
    </row>
    <row r="12" spans="1:45" x14ac:dyDescent="0.2">
      <c r="B12" s="8" t="s">
        <v>5</v>
      </c>
      <c r="C12" s="9">
        <f>+'2022'!C13</f>
        <v>2086.8231001835179</v>
      </c>
      <c r="D12" s="11"/>
      <c r="E12" s="9" t="e">
        <f>+#REF!</f>
        <v>#REF!</v>
      </c>
      <c r="F12" s="11"/>
      <c r="G12" s="9">
        <f>+'[42]2017'!$H$12</f>
        <v>2540.668996923077</v>
      </c>
      <c r="H12" s="9">
        <f>+'[43]2017'!$H$12</f>
        <v>13340.305620000001</v>
      </c>
      <c r="I12" s="9">
        <f>+'[44]2017'!$H$12</f>
        <v>2467.7703164800005</v>
      </c>
      <c r="J12" s="9">
        <f>+'[45]2017'!$H$12</f>
        <v>5506.1325799999995</v>
      </c>
      <c r="K12" s="9">
        <f t="shared" si="3"/>
        <v>23854.87751340308</v>
      </c>
      <c r="L12" s="11"/>
      <c r="M12" s="9">
        <f>+'[46]2017-IEQA'!$D$11</f>
        <v>1224.2634991049176</v>
      </c>
      <c r="N12" s="9">
        <f>+'[46]2017-IEQA'!$E$11</f>
        <v>1285.0944802872441</v>
      </c>
      <c r="O12" s="9">
        <f>+'[46]2017-IEQA'!$F$11</f>
        <v>1390.8018397861852</v>
      </c>
      <c r="P12" s="9">
        <f t="shared" si="4"/>
        <v>3900.1598191783469</v>
      </c>
      <c r="Q12" s="11"/>
      <c r="R12" s="9">
        <f>+'[47]2017'!$D$11</f>
        <v>1282.37824</v>
      </c>
      <c r="S12" s="9">
        <f>+'[47]2017'!$E$11</f>
        <v>2576.2915800000001</v>
      </c>
      <c r="T12" s="9">
        <f>+'[47]2017'!$F$11</f>
        <v>3304.86</v>
      </c>
      <c r="U12" s="9">
        <f>+'[47]2017'!$G$11</f>
        <v>3784.6920799999998</v>
      </c>
      <c r="V12" s="9">
        <f>+'[47]2017'!$H$11</f>
        <v>3534</v>
      </c>
      <c r="W12" s="9">
        <f>+'[47]2017'!$I$11</f>
        <v>3678.7224604769176</v>
      </c>
      <c r="X12" s="9">
        <f>+'[47]2017'!$J$11</f>
        <v>2059.7491199999999</v>
      </c>
      <c r="Y12" s="9">
        <f>+'[47]2017'!$L$11</f>
        <v>3867.3546960000003</v>
      </c>
      <c r="Z12" s="9">
        <f t="shared" si="5"/>
        <v>24088.048176476921</v>
      </c>
      <c r="AA12" s="11"/>
      <c r="AB12" s="9">
        <f>+'[48]2017'!$D$11</f>
        <v>1409</v>
      </c>
      <c r="AC12" s="9">
        <f>+'[48]2017'!$E$11</f>
        <v>1371.9071944464931</v>
      </c>
      <c r="AD12" s="9">
        <f>+'[48]2017'!$F$11</f>
        <v>3078.8133998711087</v>
      </c>
      <c r="AE12" s="9">
        <f>+'[48]2017'!$G$11</f>
        <v>5722.9050895999981</v>
      </c>
      <c r="AF12" s="9">
        <f t="shared" si="6"/>
        <v>11582.625683917599</v>
      </c>
      <c r="AG12" s="11"/>
      <c r="AH12" s="9">
        <f>+'[49]2017'!$D$11</f>
        <v>1220.2195200000001</v>
      </c>
      <c r="AI12" s="9">
        <f>+'[49]2017'!$E$11</f>
        <v>1668.8645402895816</v>
      </c>
      <c r="AJ12" s="9">
        <f>+'[49]2017'!$F$11</f>
        <v>2248.8134000000005</v>
      </c>
      <c r="AK12" s="9">
        <f>+'[49]2017'!$G$11</f>
        <v>1140.3192068944602</v>
      </c>
      <c r="AL12" s="9">
        <f>+'[49]2017'!$H$11</f>
        <v>617.88145999999995</v>
      </c>
      <c r="AM12" s="9">
        <f>+'[49]2017'!$I$11</f>
        <v>427.50760000000008</v>
      </c>
      <c r="AN12" s="9">
        <f>+'[49]2017'!$J$11</f>
        <v>511.11683999999997</v>
      </c>
      <c r="AO12" s="9">
        <f>+'[49]2017'!$K$11</f>
        <v>1176.2763199999999</v>
      </c>
      <c r="AP12" s="9">
        <f t="shared" si="7"/>
        <v>9010.9988871840396</v>
      </c>
      <c r="AQ12" s="11"/>
      <c r="AR12" s="9" t="e">
        <f t="shared" si="8"/>
        <v>#REF!</v>
      </c>
      <c r="AS12" s="8" t="s">
        <v>5</v>
      </c>
    </row>
    <row r="13" spans="1:45" x14ac:dyDescent="0.2">
      <c r="B13" s="8" t="s">
        <v>6</v>
      </c>
      <c r="C13" s="9">
        <f>+'2022'!C14</f>
        <v>7019.7195245701178</v>
      </c>
      <c r="D13" s="11"/>
      <c r="E13" s="9" t="e">
        <f>+#REF!</f>
        <v>#REF!</v>
      </c>
      <c r="F13" s="11"/>
      <c r="G13" s="9">
        <f>+'[42]2017'!$H$13</f>
        <v>10730.814230769232</v>
      </c>
      <c r="H13" s="9">
        <f>+'[43]2017'!$H$13</f>
        <v>24884.689230769229</v>
      </c>
      <c r="I13" s="9">
        <f>+'[44]2017'!$H$13</f>
        <v>6521.7600861538467</v>
      </c>
      <c r="J13" s="9">
        <f>+'[45]2017'!$H$13</f>
        <v>13477.721538461537</v>
      </c>
      <c r="K13" s="9">
        <f t="shared" si="3"/>
        <v>55614.985086153843</v>
      </c>
      <c r="L13" s="11"/>
      <c r="M13" s="9">
        <v>0</v>
      </c>
      <c r="N13" s="9">
        <f>+'[46]2017-IEQA'!$E$12</f>
        <v>1951.0543729057347</v>
      </c>
      <c r="O13" s="9">
        <f>+'[46]2017-IEQA'!$F$12</f>
        <v>4684.591404848672</v>
      </c>
      <c r="P13" s="9">
        <f t="shared" si="4"/>
        <v>6635.6457777544065</v>
      </c>
      <c r="Q13" s="11"/>
      <c r="R13" s="9">
        <f>+'[47]2017'!$D$12</f>
        <v>3994.2000000000003</v>
      </c>
      <c r="S13" s="9">
        <f>+'[47]2017'!$E$12</f>
        <v>4794.5873076923071</v>
      </c>
      <c r="T13" s="9">
        <f>+'[47]2017'!$F$12</f>
        <v>6657.0679687282491</v>
      </c>
      <c r="U13" s="9">
        <f>+'[47]2017'!$G$12</f>
        <v>5745.99</v>
      </c>
      <c r="V13" s="9">
        <f>+'[47]2017'!$H$12</f>
        <v>10096</v>
      </c>
      <c r="W13" s="9">
        <f>+'[47]2017'!$I$12</f>
        <v>7709.7157404565023</v>
      </c>
      <c r="X13" s="9">
        <f>+'[47]2017'!$J$12</f>
        <v>3833.2799999999997</v>
      </c>
      <c r="Y13" s="9">
        <f>+'[47]2017'!$L$12</f>
        <v>5871.4899230769233</v>
      </c>
      <c r="Z13" s="9">
        <f t="shared" si="5"/>
        <v>48702.330939953979</v>
      </c>
      <c r="AA13" s="11"/>
      <c r="AB13" s="9">
        <f>+'[48]2017'!$D$12</f>
        <v>2741.02</v>
      </c>
      <c r="AC13" s="9">
        <f>+'[48]2017'!$E$12</f>
        <v>2553.1771608805702</v>
      </c>
      <c r="AD13" s="9">
        <f>+'[48]2017'!$F$12</f>
        <v>4674.3118419095772</v>
      </c>
      <c r="AE13" s="9">
        <f>+'[48]2017'!$G$12</f>
        <v>10704.988938461542</v>
      </c>
      <c r="AF13" s="9">
        <f t="shared" si="6"/>
        <v>20673.497941251691</v>
      </c>
      <c r="AG13" s="11"/>
      <c r="AH13" s="9">
        <f>+'[49]2017'!$D$12</f>
        <v>1852.56</v>
      </c>
      <c r="AI13" s="9">
        <f>+'[49]2017'!$E$12</f>
        <v>2533.7012251360038</v>
      </c>
      <c r="AJ13" s="9">
        <f>+'[49]2017'!$F$12</f>
        <v>3414.1903846153846</v>
      </c>
      <c r="AK13" s="9">
        <f>+'[49]2017'!$G$12</f>
        <v>1731.2538566211442</v>
      </c>
      <c r="AL13" s="9">
        <f>+'[49]2017'!$H$12</f>
        <v>1149.9034615384614</v>
      </c>
      <c r="AM13" s="9">
        <f>+'[49]2017'!$I$12</f>
        <v>649.04999999999995</v>
      </c>
      <c r="AN13" s="9">
        <f>+'[49]2017'!$J$12</f>
        <v>951.20999999999992</v>
      </c>
      <c r="AO13" s="9">
        <f>+'[49]2017'!$K$12</f>
        <v>1792.6384615384616</v>
      </c>
      <c r="AP13" s="9">
        <f t="shared" si="7"/>
        <v>14074.507389449453</v>
      </c>
      <c r="AQ13" s="11"/>
      <c r="AR13" s="9" t="e">
        <f t="shared" si="8"/>
        <v>#REF!</v>
      </c>
      <c r="AS13" s="8" t="s">
        <v>6</v>
      </c>
    </row>
    <row r="14" spans="1:45" x14ac:dyDescent="0.2">
      <c r="B14" s="8" t="s">
        <v>7</v>
      </c>
      <c r="C14" s="9">
        <v>25200</v>
      </c>
      <c r="D14" s="11"/>
      <c r="E14" s="9" t="e">
        <f>+#REF!</f>
        <v>#REF!</v>
      </c>
      <c r="F14" s="11"/>
      <c r="G14" s="9">
        <f>+'[42]2017'!$H$14</f>
        <v>115200</v>
      </c>
      <c r="H14" s="9">
        <f>+'[43]2017'!$H$14</f>
        <v>136800</v>
      </c>
      <c r="I14" s="9">
        <f>+'[44]2017'!$H$14</f>
        <v>50400</v>
      </c>
      <c r="J14" s="9">
        <f>+'[45]2017'!$H$14</f>
        <v>43200</v>
      </c>
      <c r="K14" s="9">
        <f t="shared" si="3"/>
        <v>345600</v>
      </c>
      <c r="L14" s="11"/>
      <c r="M14" s="9">
        <f>+'[46]2017-IEQA'!$D$13</f>
        <v>14400</v>
      </c>
      <c r="N14" s="9">
        <f>+'[46]2017-IEQA'!$E$13</f>
        <v>7200</v>
      </c>
      <c r="O14" s="9">
        <f>+'[46]2017-IEQA'!$F$13</f>
        <v>21600</v>
      </c>
      <c r="P14" s="9">
        <f t="shared" si="4"/>
        <v>43200</v>
      </c>
      <c r="Q14" s="11"/>
      <c r="R14" s="9">
        <f>+'[47]2017'!$D$13</f>
        <v>14400</v>
      </c>
      <c r="S14" s="9">
        <f>+'[47]2017'!$E$13</f>
        <v>21600</v>
      </c>
      <c r="T14" s="9">
        <f>+'[47]2017'!$F$13</f>
        <v>14400</v>
      </c>
      <c r="U14" s="9">
        <f>+'[47]2017'!$G$13</f>
        <v>43200</v>
      </c>
      <c r="V14" s="9">
        <f>+'[47]2017'!$H$13</f>
        <v>64800</v>
      </c>
      <c r="W14" s="9">
        <f>+'[47]2017'!$I$13</f>
        <v>57600</v>
      </c>
      <c r="X14" s="9">
        <f>+'[47]2017'!$J$13</f>
        <v>21600</v>
      </c>
      <c r="Y14" s="9">
        <f>+'[47]2017'!$L$13</f>
        <v>7200</v>
      </c>
      <c r="Z14" s="9">
        <f t="shared" si="5"/>
        <v>244800</v>
      </c>
      <c r="AA14" s="11"/>
      <c r="AB14" s="9">
        <v>7200</v>
      </c>
      <c r="AC14" s="9">
        <f>+'[48]2017'!$E$13</f>
        <v>7200</v>
      </c>
      <c r="AD14" s="9">
        <f>+'[48]2017'!$F$13</f>
        <v>21600</v>
      </c>
      <c r="AE14" s="9">
        <v>0</v>
      </c>
      <c r="AF14" s="9">
        <f t="shared" si="6"/>
        <v>36000</v>
      </c>
      <c r="AG14" s="11"/>
      <c r="AH14" s="9">
        <f>+'[49]2017'!$D$13</f>
        <v>7200</v>
      </c>
      <c r="AI14" s="9">
        <f>+'[49]2017'!$E$13</f>
        <v>7200</v>
      </c>
      <c r="AJ14" s="9">
        <f>+'[49]2017'!$F$13</f>
        <v>7200</v>
      </c>
      <c r="AK14" s="9">
        <v>0</v>
      </c>
      <c r="AL14" s="9">
        <v>0</v>
      </c>
      <c r="AM14" s="9">
        <f>+'[49]2017'!$I$13</f>
        <v>7200</v>
      </c>
      <c r="AN14" s="9">
        <f>+'[49]2017'!$J$13</f>
        <v>7200</v>
      </c>
      <c r="AO14" s="9">
        <f>+'[49]2017'!$K$13</f>
        <v>7200</v>
      </c>
      <c r="AP14" s="9">
        <f t="shared" si="7"/>
        <v>43200</v>
      </c>
      <c r="AQ14" s="11"/>
      <c r="AR14" s="9" t="e">
        <f t="shared" si="8"/>
        <v>#REF!</v>
      </c>
      <c r="AS14" s="8" t="s">
        <v>7</v>
      </c>
    </row>
    <row r="15" spans="1:45" x14ac:dyDescent="0.2">
      <c r="B15" s="8" t="s">
        <v>87</v>
      </c>
      <c r="C15" s="9" t="e">
        <f>+'2022'!#REF!</f>
        <v>#REF!</v>
      </c>
      <c r="D15" s="11"/>
      <c r="E15" s="9"/>
      <c r="F15" s="11"/>
      <c r="G15" s="9">
        <f>+'[42]2017'!$H$9</f>
        <v>0</v>
      </c>
      <c r="H15" s="9">
        <f>+'[43]2017'!$H$9</f>
        <v>0</v>
      </c>
      <c r="I15" s="9">
        <f>+'[44]2017'!$H$9</f>
        <v>0</v>
      </c>
      <c r="J15" s="9">
        <v>0</v>
      </c>
      <c r="K15" s="9">
        <f t="shared" si="3"/>
        <v>0</v>
      </c>
      <c r="L15" s="11"/>
      <c r="M15" s="9">
        <v>0</v>
      </c>
      <c r="N15" s="9">
        <v>0</v>
      </c>
      <c r="O15" s="9">
        <v>0</v>
      </c>
      <c r="P15" s="9">
        <f t="shared" si="4"/>
        <v>0</v>
      </c>
      <c r="Q15" s="11"/>
      <c r="R15" s="9">
        <f>+'[47]2017'!$D$15</f>
        <v>645000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f t="shared" si="5"/>
        <v>645000</v>
      </c>
      <c r="AA15" s="11"/>
      <c r="AB15" s="9">
        <v>0</v>
      </c>
      <c r="AC15" s="9">
        <v>0</v>
      </c>
      <c r="AD15" s="9">
        <v>0</v>
      </c>
      <c r="AE15" s="9">
        <v>0</v>
      </c>
      <c r="AF15" s="9">
        <f t="shared" si="6"/>
        <v>0</v>
      </c>
      <c r="AG15" s="11"/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f t="shared" si="7"/>
        <v>0</v>
      </c>
      <c r="AQ15" s="11"/>
      <c r="AR15" s="9" t="e">
        <f t="shared" si="8"/>
        <v>#REF!</v>
      </c>
      <c r="AS15" s="8" t="s">
        <v>67</v>
      </c>
    </row>
    <row r="16" spans="1:45" x14ac:dyDescent="0.2">
      <c r="B16" s="8" t="s">
        <v>68</v>
      </c>
      <c r="C16" s="9">
        <f>+'2022'!C16</f>
        <v>0</v>
      </c>
      <c r="D16" s="11"/>
      <c r="E16" s="9"/>
      <c r="F16" s="11"/>
      <c r="G16" s="9">
        <v>0</v>
      </c>
      <c r="H16" s="9">
        <v>0</v>
      </c>
      <c r="I16" s="9">
        <v>0</v>
      </c>
      <c r="J16" s="9">
        <v>0</v>
      </c>
      <c r="K16" s="9">
        <f t="shared" si="3"/>
        <v>0</v>
      </c>
      <c r="L16" s="11"/>
      <c r="M16" s="9">
        <v>0</v>
      </c>
      <c r="N16" s="9">
        <v>0</v>
      </c>
      <c r="O16" s="9">
        <v>0</v>
      </c>
      <c r="P16" s="9">
        <f t="shared" si="4"/>
        <v>0</v>
      </c>
      <c r="Q16" s="11"/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f>+'[47]2017'!$J$14</f>
        <v>2000</v>
      </c>
      <c r="Y16" s="9">
        <v>0</v>
      </c>
      <c r="Z16" s="9">
        <f t="shared" si="5"/>
        <v>2000</v>
      </c>
      <c r="AA16" s="11"/>
      <c r="AB16" s="9">
        <v>0</v>
      </c>
      <c r="AC16" s="9">
        <v>0</v>
      </c>
      <c r="AD16" s="9">
        <v>0</v>
      </c>
      <c r="AE16" s="9">
        <v>0</v>
      </c>
      <c r="AF16" s="9">
        <f t="shared" si="6"/>
        <v>0</v>
      </c>
      <c r="AG16" s="11"/>
      <c r="AH16" s="9">
        <v>0</v>
      </c>
      <c r="AI16" s="9">
        <v>0</v>
      </c>
      <c r="AJ16" s="9">
        <v>0</v>
      </c>
      <c r="AK16" s="9">
        <f>+'[49]2017'!$G$14</f>
        <v>60000</v>
      </c>
      <c r="AL16" s="9">
        <v>0</v>
      </c>
      <c r="AM16" s="9">
        <v>0</v>
      </c>
      <c r="AN16" s="9">
        <v>0</v>
      </c>
      <c r="AO16" s="9">
        <v>0</v>
      </c>
      <c r="AP16" s="9">
        <f t="shared" si="7"/>
        <v>60000</v>
      </c>
      <c r="AQ16" s="11"/>
      <c r="AR16" s="9">
        <f t="shared" si="8"/>
        <v>62000</v>
      </c>
      <c r="AS16" s="8" t="s">
        <v>68</v>
      </c>
    </row>
    <row r="17" spans="2:45" x14ac:dyDescent="0.2">
      <c r="B17" s="8" t="s">
        <v>33</v>
      </c>
      <c r="C17" s="9">
        <f>+'2022'!C17</f>
        <v>0</v>
      </c>
      <c r="D17" s="11"/>
      <c r="E17" s="9"/>
      <c r="F17" s="11"/>
      <c r="G17" s="9">
        <v>0</v>
      </c>
      <c r="H17" s="9">
        <v>0</v>
      </c>
      <c r="I17" s="9">
        <v>0</v>
      </c>
      <c r="J17" s="9">
        <v>0</v>
      </c>
      <c r="K17" s="9">
        <f t="shared" si="3"/>
        <v>0</v>
      </c>
      <c r="L17" s="11"/>
      <c r="M17" s="9">
        <v>0</v>
      </c>
      <c r="N17" s="9">
        <v>0</v>
      </c>
      <c r="O17" s="9">
        <v>0</v>
      </c>
      <c r="P17" s="9">
        <f t="shared" si="4"/>
        <v>0</v>
      </c>
      <c r="Q17" s="11"/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f t="shared" si="5"/>
        <v>0</v>
      </c>
      <c r="AA17" s="11"/>
      <c r="AB17" s="9">
        <v>0</v>
      </c>
      <c r="AC17" s="9">
        <v>70000</v>
      </c>
      <c r="AD17" s="9">
        <v>0</v>
      </c>
      <c r="AE17" s="9">
        <v>0</v>
      </c>
      <c r="AF17" s="9">
        <f t="shared" si="6"/>
        <v>70000</v>
      </c>
      <c r="AG17" s="11"/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f t="shared" si="7"/>
        <v>0</v>
      </c>
      <c r="AQ17" s="11"/>
      <c r="AR17" s="9">
        <f t="shared" si="8"/>
        <v>70000</v>
      </c>
      <c r="AS17" s="8" t="s">
        <v>33</v>
      </c>
    </row>
    <row r="18" spans="2:45" x14ac:dyDescent="0.2">
      <c r="B18" s="8"/>
      <c r="C18" s="10" t="e">
        <f>SUM(C6:C17)</f>
        <v>#REF!</v>
      </c>
      <c r="D18" s="11"/>
      <c r="E18" s="10" t="e">
        <f>SUM(E6:E17)</f>
        <v>#REF!</v>
      </c>
      <c r="F18" s="11"/>
      <c r="G18" s="10">
        <f>SUM(G6:G17)</f>
        <v>1306779.1238661541</v>
      </c>
      <c r="H18" s="10">
        <f>SUM(H6:H17)</f>
        <v>1099036.0938892309</v>
      </c>
      <c r="I18" s="10">
        <f>SUM(I6:I17)</f>
        <v>690865.12405648001</v>
      </c>
      <c r="J18" s="10">
        <f>SUM(J6:J17)</f>
        <v>616261.55834923068</v>
      </c>
      <c r="K18" s="10">
        <f>SUM(K6:K17)</f>
        <v>3712941.9001610959</v>
      </c>
      <c r="L18" s="11"/>
      <c r="M18" s="10">
        <f>SUM(M6:M17)</f>
        <v>105124.91580679723</v>
      </c>
      <c r="N18" s="10">
        <f>SUM(N6:N17)</f>
        <v>82440.597856674125</v>
      </c>
      <c r="O18" s="10">
        <f>SUM(O6:O17)</f>
        <v>201846.74615133356</v>
      </c>
      <c r="P18" s="10">
        <f>SUM(P6:P17)</f>
        <v>389412.25981480494</v>
      </c>
      <c r="Q18" s="11"/>
      <c r="R18" s="10">
        <f t="shared" ref="R18:Z18" si="9">SUM(R6:R17)</f>
        <v>853195.95323999994</v>
      </c>
      <c r="S18" s="10">
        <f t="shared" si="9"/>
        <v>224104.38619538461</v>
      </c>
      <c r="T18" s="10">
        <f t="shared" si="9"/>
        <v>266488.29351482383</v>
      </c>
      <c r="U18" s="10">
        <f t="shared" si="9"/>
        <v>277661.15708000003</v>
      </c>
      <c r="V18" s="10">
        <f t="shared" si="9"/>
        <v>594138</v>
      </c>
      <c r="W18" s="10">
        <f t="shared" si="9"/>
        <v>382437.28915703506</v>
      </c>
      <c r="X18" s="10">
        <f t="shared" si="9"/>
        <v>164974.73860168611</v>
      </c>
      <c r="Y18" s="10">
        <f t="shared" si="9"/>
        <v>236960.900196</v>
      </c>
      <c r="Z18" s="10">
        <f t="shared" si="9"/>
        <v>2999960.7179849297</v>
      </c>
      <c r="AA18" s="11"/>
      <c r="AB18" s="10">
        <f>SUM(AB6:AB17)</f>
        <v>117127.63799667367</v>
      </c>
      <c r="AC18" s="10">
        <f>SUM(AC6:AC17)</f>
        <v>174382.24762021418</v>
      </c>
      <c r="AD18" s="10">
        <f>SUM(AD6:AD17)</f>
        <v>202412.57649864213</v>
      </c>
      <c r="AE18" s="10">
        <f>SUM(AE6:AE17)</f>
        <v>415822.56964344613</v>
      </c>
      <c r="AF18" s="10">
        <f>SUM(AF6:AF17)</f>
        <v>909745.03175897605</v>
      </c>
      <c r="AG18" s="11"/>
      <c r="AH18" s="10">
        <f t="shared" ref="AH18:AP18" si="10">SUM(AH6:AH17)</f>
        <v>76363.079519999999</v>
      </c>
      <c r="AI18" s="10">
        <f t="shared" si="10"/>
        <v>107099.00133279905</v>
      </c>
      <c r="AJ18" s="10">
        <f t="shared" si="10"/>
        <v>141682.8009</v>
      </c>
      <c r="AK18" s="10">
        <f t="shared" si="10"/>
        <v>127176.14959243994</v>
      </c>
      <c r="AL18" s="10">
        <f>SUM(AL6:AL17)</f>
        <v>57334.179536923068</v>
      </c>
      <c r="AM18" s="10">
        <f>SUM(AM6:AM17)</f>
        <v>32649.062600000001</v>
      </c>
      <c r="AN18" s="10">
        <f>SUM(AN6:AN17)</f>
        <v>42696.046840000003</v>
      </c>
      <c r="AO18" s="10">
        <f t="shared" si="10"/>
        <v>86930.680166153848</v>
      </c>
      <c r="AP18" s="10">
        <f t="shared" si="10"/>
        <v>671931.00048831594</v>
      </c>
      <c r="AQ18" s="11"/>
      <c r="AR18" s="10" t="e">
        <f>SUM(AR6:AR17)</f>
        <v>#REF!</v>
      </c>
      <c r="AS18" s="102" t="e">
        <f>+AR18-'2022'!M18</f>
        <v>#REF!</v>
      </c>
    </row>
    <row r="19" spans="2:45" ht="5.25" customHeight="1" x14ac:dyDescent="0.2">
      <c r="B19" s="8"/>
      <c r="C19" s="9"/>
      <c r="D19" s="11"/>
      <c r="E19" s="9"/>
      <c r="F19" s="11"/>
      <c r="G19" s="9"/>
      <c r="H19" s="9"/>
      <c r="I19" s="9"/>
      <c r="J19" s="9"/>
      <c r="K19" s="9"/>
      <c r="L19" s="11"/>
      <c r="M19" s="9"/>
      <c r="N19" s="9"/>
      <c r="O19" s="9"/>
      <c r="P19" s="9"/>
      <c r="Q19" s="11"/>
      <c r="R19" s="9"/>
      <c r="S19" s="9"/>
      <c r="T19" s="9"/>
      <c r="U19" s="9"/>
      <c r="V19" s="9"/>
      <c r="W19" s="9"/>
      <c r="X19" s="9"/>
      <c r="Y19" s="9"/>
      <c r="Z19" s="9"/>
      <c r="AA19" s="11"/>
      <c r="AB19" s="9"/>
      <c r="AC19" s="9"/>
      <c r="AD19" s="9"/>
      <c r="AE19" s="9"/>
      <c r="AF19" s="9"/>
      <c r="AG19" s="11"/>
      <c r="AH19" s="9"/>
      <c r="AI19" s="9"/>
      <c r="AJ19" s="9"/>
      <c r="AK19" s="9"/>
      <c r="AL19" s="9"/>
      <c r="AM19" s="9"/>
      <c r="AN19" s="9"/>
      <c r="AO19" s="9"/>
      <c r="AP19" s="9"/>
      <c r="AQ19" s="11"/>
      <c r="AR19" s="9"/>
      <c r="AS19" s="8"/>
    </row>
    <row r="20" spans="2:45" x14ac:dyDescent="0.2">
      <c r="B20" s="8" t="s">
        <v>22</v>
      </c>
      <c r="C20" s="9">
        <f>+'2022'!C20</f>
        <v>25000</v>
      </c>
      <c r="D20" s="11"/>
      <c r="E20" s="9" t="e">
        <f>+#REF!</f>
        <v>#REF!</v>
      </c>
      <c r="F20" s="11"/>
      <c r="G20" s="9">
        <f>+'[42]2017'!$H$17</f>
        <v>0</v>
      </c>
      <c r="H20" s="9">
        <f>+'[43]2017'!$H$17</f>
        <v>3500</v>
      </c>
      <c r="I20" s="9">
        <f>+'[44]2017'!$H$17</f>
        <v>4000</v>
      </c>
      <c r="J20" s="9">
        <f>+'[45]2015-2017'!$Z$19</f>
        <v>4000</v>
      </c>
      <c r="K20" s="9">
        <f t="shared" ref="K20:K21" si="11">SUM(G20:J20)</f>
        <v>11500</v>
      </c>
      <c r="L20" s="11"/>
      <c r="M20" s="9">
        <f>+'[46]2017-IEQA'!$D$16</f>
        <v>18500</v>
      </c>
      <c r="N20" s="9">
        <f>+'[46]2017-IEQA'!$E$16</f>
        <v>5000</v>
      </c>
      <c r="O20" s="9">
        <f>+'[46]2017-IEQA'!$F$16</f>
        <v>5000</v>
      </c>
      <c r="P20" s="9">
        <f t="shared" ref="P20:P21" si="12">SUM(M20:O20)</f>
        <v>28500</v>
      </c>
      <c r="Q20" s="11"/>
      <c r="R20" s="9">
        <f>+'[47]2017'!$D$18</f>
        <v>15000</v>
      </c>
      <c r="S20" s="9">
        <f>+'[47]2017'!$E$18</f>
        <v>10000</v>
      </c>
      <c r="T20" s="9">
        <v>0</v>
      </c>
      <c r="U20" s="9">
        <f>+'[47]2017'!$G$18</f>
        <v>5000</v>
      </c>
      <c r="V20" s="9">
        <v>0</v>
      </c>
      <c r="W20" s="9">
        <v>0</v>
      </c>
      <c r="X20" s="9">
        <v>0</v>
      </c>
      <c r="Y20" s="9">
        <f>+'[47]2017'!$L$18</f>
        <v>10000</v>
      </c>
      <c r="Z20" s="9">
        <f t="shared" ref="Z20:Z21" si="13">SUM(R20:Y20)</f>
        <v>40000</v>
      </c>
      <c r="AA20" s="11"/>
      <c r="AB20" s="9">
        <v>15000</v>
      </c>
      <c r="AC20" s="9">
        <v>0</v>
      </c>
      <c r="AD20" s="9">
        <f>+'[48]2017'!$F$16</f>
        <v>10000</v>
      </c>
      <c r="AE20" s="9">
        <v>0</v>
      </c>
      <c r="AF20" s="9">
        <f t="shared" ref="AF20:AF21" si="14">SUM(AB20:AE20)</f>
        <v>25000</v>
      </c>
      <c r="AG20" s="11"/>
      <c r="AH20" s="9">
        <f>+'[49]2017'!$D$17</f>
        <v>12000</v>
      </c>
      <c r="AI20" s="9">
        <v>0</v>
      </c>
      <c r="AJ20" s="9">
        <f>+'[49]2017'!$F$17</f>
        <v>0</v>
      </c>
      <c r="AK20" s="9">
        <v>0</v>
      </c>
      <c r="AL20" s="9">
        <v>0</v>
      </c>
      <c r="AM20" s="9">
        <f>+'[49]2017'!$I$17</f>
        <v>0</v>
      </c>
      <c r="AN20" s="9">
        <v>0</v>
      </c>
      <c r="AO20" s="9">
        <v>0</v>
      </c>
      <c r="AP20" s="9">
        <f t="shared" ref="AP20:AP21" si="15">SUM(AH20:AO20)</f>
        <v>12000</v>
      </c>
      <c r="AQ20" s="11"/>
      <c r="AR20" s="9" t="e">
        <f t="shared" ref="AR20:AR21" si="16">SUM(C20+K20+P20+Z20+AF20+AP20+E20)</f>
        <v>#REF!</v>
      </c>
      <c r="AS20" s="8" t="s">
        <v>22</v>
      </c>
    </row>
    <row r="21" spans="2:45" x14ac:dyDescent="0.2">
      <c r="B21" s="8" t="s">
        <v>13</v>
      </c>
      <c r="C21" s="9">
        <f>+'2022'!C21</f>
        <v>14636</v>
      </c>
      <c r="D21" s="11"/>
      <c r="E21" s="9"/>
      <c r="F21" s="11"/>
      <c r="G21" s="9">
        <f>+'[42]2017'!$H$18</f>
        <v>4500</v>
      </c>
      <c r="H21" s="9">
        <f>+'[43]2017'!$H$18</f>
        <v>4500</v>
      </c>
      <c r="I21" s="9">
        <f>+'[44]2017'!$H$18</f>
        <v>4500</v>
      </c>
      <c r="J21" s="9">
        <f>+'2022'!G21</f>
        <v>0</v>
      </c>
      <c r="K21" s="9">
        <f t="shared" si="11"/>
        <v>13500</v>
      </c>
      <c r="L21" s="11"/>
      <c r="M21" s="9">
        <f>+'[46]2017-IEQA'!$D$17</f>
        <v>22000</v>
      </c>
      <c r="N21" s="9">
        <f>+'[46]2017-IEQA'!$E$17</f>
        <v>4000</v>
      </c>
      <c r="O21" s="9">
        <f>+'[46]2017-IEQA'!$F$17</f>
        <v>10000</v>
      </c>
      <c r="P21" s="9">
        <f t="shared" si="12"/>
        <v>36000</v>
      </c>
      <c r="Q21" s="11"/>
      <c r="R21" s="9">
        <f>+'[47]2017'!$D$19</f>
        <v>45000</v>
      </c>
      <c r="S21" s="9">
        <v>0</v>
      </c>
      <c r="T21" s="9">
        <f>+'[47]2017'!$F$19</f>
        <v>15852</v>
      </c>
      <c r="U21" s="9">
        <v>0</v>
      </c>
      <c r="V21" s="9">
        <v>0</v>
      </c>
      <c r="W21" s="9">
        <v>0</v>
      </c>
      <c r="X21" s="9">
        <f>+'[47]2017'!$J$19</f>
        <v>5000</v>
      </c>
      <c r="Y21" s="9">
        <v>0</v>
      </c>
      <c r="Z21" s="9">
        <f t="shared" si="13"/>
        <v>65852</v>
      </c>
      <c r="AA21" s="11"/>
      <c r="AB21" s="9">
        <v>30000</v>
      </c>
      <c r="AC21" s="9">
        <v>0</v>
      </c>
      <c r="AD21" s="9">
        <v>10000</v>
      </c>
      <c r="AE21" s="9">
        <f>+'[48]2017'!$G$17</f>
        <v>7000</v>
      </c>
      <c r="AF21" s="9">
        <f t="shared" si="14"/>
        <v>47000</v>
      </c>
      <c r="AG21" s="11"/>
      <c r="AH21" s="9">
        <v>21000</v>
      </c>
      <c r="AI21" s="9">
        <v>0</v>
      </c>
      <c r="AJ21" s="9">
        <f>+'[49]2017'!$F$18</f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f t="shared" si="15"/>
        <v>21000</v>
      </c>
      <c r="AQ21" s="11"/>
      <c r="AR21" s="9">
        <f t="shared" si="16"/>
        <v>197988</v>
      </c>
      <c r="AS21" s="8" t="s">
        <v>13</v>
      </c>
    </row>
    <row r="22" spans="2:45" x14ac:dyDescent="0.2">
      <c r="B22" s="8"/>
      <c r="C22" s="10">
        <f>SUM(C20:C21)</f>
        <v>39636</v>
      </c>
      <c r="D22" s="11"/>
      <c r="E22" s="10" t="e">
        <f>SUM(E20:E21)</f>
        <v>#REF!</v>
      </c>
      <c r="F22" s="11"/>
      <c r="G22" s="10">
        <f>SUM(G20:G21)</f>
        <v>4500</v>
      </c>
      <c r="H22" s="10">
        <f>SUM(H20:H21)</f>
        <v>8000</v>
      </c>
      <c r="I22" s="10">
        <f>SUM(I20:I21)</f>
        <v>8500</v>
      </c>
      <c r="J22" s="10">
        <f>SUM(J20:J21)</f>
        <v>4000</v>
      </c>
      <c r="K22" s="10">
        <f>SUM(K20:K21)</f>
        <v>25000</v>
      </c>
      <c r="L22" s="11"/>
      <c r="M22" s="10">
        <f>SUM(M20:M21)</f>
        <v>40500</v>
      </c>
      <c r="N22" s="10">
        <f>SUM(N20:N21)</f>
        <v>9000</v>
      </c>
      <c r="O22" s="10">
        <f>SUM(O20:O21)</f>
        <v>15000</v>
      </c>
      <c r="P22" s="10">
        <f>SUM(P20:P21)</f>
        <v>64500</v>
      </c>
      <c r="Q22" s="11"/>
      <c r="R22" s="10">
        <f t="shared" ref="R22:Z22" si="17">SUM(R20:R21)</f>
        <v>60000</v>
      </c>
      <c r="S22" s="10">
        <f t="shared" si="17"/>
        <v>10000</v>
      </c>
      <c r="T22" s="10">
        <f t="shared" si="17"/>
        <v>15852</v>
      </c>
      <c r="U22" s="10">
        <f t="shared" si="17"/>
        <v>5000</v>
      </c>
      <c r="V22" s="10">
        <f t="shared" si="17"/>
        <v>0</v>
      </c>
      <c r="W22" s="10">
        <f t="shared" si="17"/>
        <v>0</v>
      </c>
      <c r="X22" s="10">
        <f t="shared" si="17"/>
        <v>5000</v>
      </c>
      <c r="Y22" s="10">
        <f t="shared" si="17"/>
        <v>10000</v>
      </c>
      <c r="Z22" s="10">
        <f t="shared" si="17"/>
        <v>105852</v>
      </c>
      <c r="AA22" s="11"/>
      <c r="AB22" s="10">
        <f>SUM(AB20:AB21)</f>
        <v>45000</v>
      </c>
      <c r="AC22" s="10">
        <f>SUM(AC20:AC21)</f>
        <v>0</v>
      </c>
      <c r="AD22" s="10">
        <f>SUM(AD20:AD21)</f>
        <v>20000</v>
      </c>
      <c r="AE22" s="10">
        <f>SUM(AE20:AE21)</f>
        <v>7000</v>
      </c>
      <c r="AF22" s="10">
        <f>SUM(AF20:AF21)</f>
        <v>72000</v>
      </c>
      <c r="AG22" s="11"/>
      <c r="AH22" s="10">
        <f t="shared" ref="AH22:AP22" si="18">SUM(AH20:AH21)</f>
        <v>33000</v>
      </c>
      <c r="AI22" s="10">
        <f t="shared" si="18"/>
        <v>0</v>
      </c>
      <c r="AJ22" s="10">
        <f t="shared" si="18"/>
        <v>0</v>
      </c>
      <c r="AK22" s="10">
        <f t="shared" si="18"/>
        <v>0</v>
      </c>
      <c r="AL22" s="10">
        <f>SUM(AL20:AL21)</f>
        <v>0</v>
      </c>
      <c r="AM22" s="10">
        <f>SUM(AM20:AM21)</f>
        <v>0</v>
      </c>
      <c r="AN22" s="10">
        <f>SUM(AN20:AN21)</f>
        <v>0</v>
      </c>
      <c r="AO22" s="10">
        <f t="shared" si="18"/>
        <v>0</v>
      </c>
      <c r="AP22" s="10">
        <f t="shared" si="18"/>
        <v>33000</v>
      </c>
      <c r="AQ22" s="11"/>
      <c r="AR22" s="10" t="e">
        <f>SUM(AR20:AR21)</f>
        <v>#REF!</v>
      </c>
      <c r="AS22" s="102" t="e">
        <f>+AR22-'2022'!M22</f>
        <v>#REF!</v>
      </c>
    </row>
    <row r="23" spans="2:45" ht="7.5" customHeight="1" x14ac:dyDescent="0.2">
      <c r="B23" s="8"/>
      <c r="C23" s="9"/>
      <c r="D23" s="11"/>
      <c r="E23" s="9"/>
      <c r="F23" s="11"/>
      <c r="G23" s="9"/>
      <c r="H23" s="9"/>
      <c r="I23" s="9"/>
      <c r="J23" s="9"/>
      <c r="K23" s="9"/>
      <c r="L23" s="11"/>
      <c r="M23" s="9"/>
      <c r="N23" s="9"/>
      <c r="O23" s="9"/>
      <c r="P23" s="9"/>
      <c r="Q23" s="11"/>
      <c r="R23" s="9"/>
      <c r="S23" s="9"/>
      <c r="T23" s="9"/>
      <c r="U23" s="9"/>
      <c r="V23" s="9"/>
      <c r="W23" s="9"/>
      <c r="X23" s="9"/>
      <c r="Y23" s="9"/>
      <c r="Z23" s="9"/>
      <c r="AA23" s="11"/>
      <c r="AB23" s="9"/>
      <c r="AC23" s="9"/>
      <c r="AD23" s="9"/>
      <c r="AE23" s="9"/>
      <c r="AF23" s="9"/>
      <c r="AG23" s="11"/>
      <c r="AH23" s="9"/>
      <c r="AI23" s="9"/>
      <c r="AJ23" s="9"/>
      <c r="AK23" s="9"/>
      <c r="AL23" s="9"/>
      <c r="AM23" s="9"/>
      <c r="AN23" s="9"/>
      <c r="AO23" s="9"/>
      <c r="AP23" s="9"/>
      <c r="AQ23" s="11"/>
      <c r="AR23" s="9"/>
      <c r="AS23" s="8"/>
    </row>
    <row r="24" spans="2:45" x14ac:dyDescent="0.2">
      <c r="B24" s="8" t="s">
        <v>72</v>
      </c>
      <c r="C24" s="9">
        <f>+'2022'!C24</f>
        <v>20992</v>
      </c>
      <c r="D24" s="11"/>
      <c r="E24" s="9"/>
      <c r="F24" s="11"/>
      <c r="G24" s="9">
        <f>+'[42]2017'!$H$22</f>
        <v>10000</v>
      </c>
      <c r="H24" s="9">
        <f>+'[43]2017'!$H$22</f>
        <v>10000</v>
      </c>
      <c r="I24" s="9">
        <f>+'[44]2017'!$H$22</f>
        <v>10000</v>
      </c>
      <c r="J24" s="9">
        <f>+'[45]2017'!$H$22</f>
        <v>7200</v>
      </c>
      <c r="K24" s="9">
        <f t="shared" ref="K24:K26" si="19">SUM(G24:J24)</f>
        <v>37200</v>
      </c>
      <c r="L24" s="11"/>
      <c r="M24" s="9">
        <v>0</v>
      </c>
      <c r="N24" s="9">
        <v>0</v>
      </c>
      <c r="O24" s="9">
        <v>0</v>
      </c>
      <c r="P24" s="9">
        <f t="shared" ref="P24:P26" si="20">SUM(M24:O24)</f>
        <v>0</v>
      </c>
      <c r="Q24" s="11"/>
      <c r="R24" s="9">
        <f>+'[47]2017'!$D$22</f>
        <v>10000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f>+'[47]2017'!$L$22</f>
        <v>3000</v>
      </c>
      <c r="Z24" s="9">
        <f t="shared" ref="Z24:Z26" si="21">SUM(R24:Y24)</f>
        <v>13000</v>
      </c>
      <c r="AA24" s="11"/>
      <c r="AB24" s="9">
        <v>0</v>
      </c>
      <c r="AC24" s="9">
        <v>0</v>
      </c>
      <c r="AD24" s="9">
        <v>0</v>
      </c>
      <c r="AE24" s="9">
        <f>+'[48]2017'!$G$21</f>
        <v>76000</v>
      </c>
      <c r="AF24" s="9">
        <f t="shared" ref="AF24:AF26" si="22">SUM(AB24:AE24)</f>
        <v>76000</v>
      </c>
      <c r="AG24" s="11"/>
      <c r="AH24" s="9">
        <f>+'[49]2017'!$D$21</f>
        <v>25000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f>+'[49]2017'!$J$21</f>
        <v>0</v>
      </c>
      <c r="AO24" s="9">
        <f>+'[49]2017'!$K$21</f>
        <v>29000</v>
      </c>
      <c r="AP24" s="9">
        <f t="shared" ref="AP24:AP26" si="23">SUM(AH24:AO24)</f>
        <v>54000</v>
      </c>
      <c r="AQ24" s="11"/>
      <c r="AR24" s="9">
        <f t="shared" ref="AR24:AR26" si="24">SUM(C24+K24+P24+Z24+AF24+AP24+E24)</f>
        <v>201192</v>
      </c>
      <c r="AS24" s="8" t="s">
        <v>72</v>
      </c>
    </row>
    <row r="25" spans="2:45" x14ac:dyDescent="0.2">
      <c r="B25" s="8" t="s">
        <v>158</v>
      </c>
      <c r="C25" s="9">
        <v>50992</v>
      </c>
      <c r="D25" s="11"/>
      <c r="E25" s="9">
        <v>50000</v>
      </c>
      <c r="F25" s="11"/>
      <c r="G25" s="9">
        <v>0</v>
      </c>
      <c r="H25" s="9">
        <v>0</v>
      </c>
      <c r="I25" s="9">
        <v>0</v>
      </c>
      <c r="J25" s="9">
        <v>0</v>
      </c>
      <c r="K25" s="9">
        <f t="shared" si="19"/>
        <v>0</v>
      </c>
      <c r="L25" s="11"/>
      <c r="M25" s="9">
        <v>0</v>
      </c>
      <c r="N25" s="9">
        <f>+'[46]2017-IEQA'!$E$20</f>
        <v>24000</v>
      </c>
      <c r="O25" s="9">
        <f>+'[46]2017-IEQA'!$F$20</f>
        <v>10000</v>
      </c>
      <c r="P25" s="9">
        <f t="shared" si="20"/>
        <v>34000</v>
      </c>
      <c r="Q25" s="11"/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f t="shared" si="21"/>
        <v>0</v>
      </c>
      <c r="AA25" s="11"/>
      <c r="AB25" s="9">
        <v>0</v>
      </c>
      <c r="AC25" s="9">
        <f>+'[48]2017'!$E$20</f>
        <v>6000</v>
      </c>
      <c r="AD25" s="9">
        <v>33000</v>
      </c>
      <c r="AE25" s="9">
        <v>0</v>
      </c>
      <c r="AF25" s="9">
        <f t="shared" si="22"/>
        <v>39000</v>
      </c>
      <c r="AG25" s="11"/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f t="shared" si="23"/>
        <v>0</v>
      </c>
      <c r="AQ25" s="11"/>
      <c r="AR25" s="9">
        <f t="shared" si="24"/>
        <v>173992</v>
      </c>
      <c r="AS25" s="8" t="s">
        <v>73</v>
      </c>
    </row>
    <row r="26" spans="2:45" x14ac:dyDescent="0.2">
      <c r="B26" s="8" t="s">
        <v>16</v>
      </c>
      <c r="C26" s="9">
        <f>+'2022'!C26</f>
        <v>0</v>
      </c>
      <c r="D26" s="11"/>
      <c r="E26" s="9">
        <f>+'2022'!F26</f>
        <v>0</v>
      </c>
      <c r="F26" s="11"/>
      <c r="G26" s="9">
        <v>0</v>
      </c>
      <c r="H26" s="9">
        <v>0</v>
      </c>
      <c r="I26" s="9">
        <v>0</v>
      </c>
      <c r="J26" s="9">
        <v>0</v>
      </c>
      <c r="K26" s="9">
        <f t="shared" si="19"/>
        <v>0</v>
      </c>
      <c r="L26" s="11"/>
      <c r="M26" s="9">
        <v>0</v>
      </c>
      <c r="N26" s="9">
        <v>0</v>
      </c>
      <c r="O26" s="9">
        <v>0</v>
      </c>
      <c r="P26" s="9">
        <f t="shared" si="20"/>
        <v>0</v>
      </c>
      <c r="Q26" s="11"/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f t="shared" si="21"/>
        <v>0</v>
      </c>
      <c r="AA26" s="11"/>
      <c r="AB26" s="9">
        <v>0</v>
      </c>
      <c r="AC26" s="9">
        <v>0</v>
      </c>
      <c r="AD26" s="9">
        <f>+'[48]2017'!$F$20-AD25+163</f>
        <v>98902</v>
      </c>
      <c r="AE26" s="9">
        <v>0</v>
      </c>
      <c r="AF26" s="9">
        <f t="shared" si="22"/>
        <v>98902</v>
      </c>
      <c r="AG26" s="11"/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f t="shared" si="23"/>
        <v>0</v>
      </c>
      <c r="AQ26" s="11"/>
      <c r="AR26" s="9">
        <f t="shared" si="24"/>
        <v>98902</v>
      </c>
      <c r="AS26" s="8" t="s">
        <v>16</v>
      </c>
    </row>
    <row r="27" spans="2:45" x14ac:dyDescent="0.2">
      <c r="B27" s="8"/>
      <c r="C27" s="10">
        <f>SUM(C24:C26)</f>
        <v>71984</v>
      </c>
      <c r="D27" s="11"/>
      <c r="E27" s="10">
        <f>SUM(E24:E26)</f>
        <v>50000</v>
      </c>
      <c r="F27" s="11"/>
      <c r="G27" s="10">
        <f>SUM(G24:G26)</f>
        <v>10000</v>
      </c>
      <c r="H27" s="10">
        <f>SUM(H24:H26)</f>
        <v>10000</v>
      </c>
      <c r="I27" s="10">
        <f>SUM(I24:I26)</f>
        <v>10000</v>
      </c>
      <c r="J27" s="10">
        <f>SUM(J24:J26)</f>
        <v>7200</v>
      </c>
      <c r="K27" s="10">
        <f>SUM(K24:K26)</f>
        <v>37200</v>
      </c>
      <c r="L27" s="11"/>
      <c r="M27" s="10">
        <f>SUM(M24:M26)</f>
        <v>0</v>
      </c>
      <c r="N27" s="10">
        <f>SUM(N24:N26)</f>
        <v>24000</v>
      </c>
      <c r="O27" s="10">
        <f>SUM(O24:O26)</f>
        <v>10000</v>
      </c>
      <c r="P27" s="10">
        <f>SUM(P24:P26)</f>
        <v>34000</v>
      </c>
      <c r="Q27" s="11"/>
      <c r="R27" s="10">
        <f t="shared" ref="R27:Z27" si="25">SUM(R24:R26)</f>
        <v>10000</v>
      </c>
      <c r="S27" s="10">
        <f t="shared" si="25"/>
        <v>0</v>
      </c>
      <c r="T27" s="10">
        <f t="shared" si="25"/>
        <v>0</v>
      </c>
      <c r="U27" s="10">
        <f t="shared" si="25"/>
        <v>0</v>
      </c>
      <c r="V27" s="10">
        <f t="shared" si="25"/>
        <v>0</v>
      </c>
      <c r="W27" s="10">
        <f t="shared" si="25"/>
        <v>0</v>
      </c>
      <c r="X27" s="10">
        <f t="shared" si="25"/>
        <v>0</v>
      </c>
      <c r="Y27" s="10">
        <f t="shared" si="25"/>
        <v>3000</v>
      </c>
      <c r="Z27" s="10">
        <f t="shared" si="25"/>
        <v>13000</v>
      </c>
      <c r="AA27" s="11"/>
      <c r="AB27" s="10">
        <f>SUM(AB24:AB26)</f>
        <v>0</v>
      </c>
      <c r="AC27" s="10">
        <f>SUM(AC24:AC26)</f>
        <v>6000</v>
      </c>
      <c r="AD27" s="10">
        <f>SUM(AD24:AD26)</f>
        <v>131902</v>
      </c>
      <c r="AE27" s="10">
        <f>SUM(AE24:AE26)</f>
        <v>76000</v>
      </c>
      <c r="AF27" s="10">
        <f>SUM(AF24:AF26)</f>
        <v>213902</v>
      </c>
      <c r="AG27" s="11"/>
      <c r="AH27" s="10">
        <f t="shared" ref="AH27:AP27" si="26">SUM(AH24:AH26)</f>
        <v>25000</v>
      </c>
      <c r="AI27" s="10">
        <f t="shared" si="26"/>
        <v>0</v>
      </c>
      <c r="AJ27" s="10">
        <f t="shared" si="26"/>
        <v>0</v>
      </c>
      <c r="AK27" s="10">
        <f t="shared" si="26"/>
        <v>0</v>
      </c>
      <c r="AL27" s="10">
        <f>SUM(AL24:AL26)</f>
        <v>0</v>
      </c>
      <c r="AM27" s="10">
        <f>SUM(AM24:AM26)</f>
        <v>0</v>
      </c>
      <c r="AN27" s="10">
        <f>SUM(AN24:AN26)</f>
        <v>0</v>
      </c>
      <c r="AO27" s="10">
        <f t="shared" si="26"/>
        <v>29000</v>
      </c>
      <c r="AP27" s="10">
        <f t="shared" si="26"/>
        <v>54000</v>
      </c>
      <c r="AQ27" s="11"/>
      <c r="AR27" s="10">
        <f>SUM(AR24:AR26)</f>
        <v>474086</v>
      </c>
      <c r="AS27" s="102">
        <f>+AR27-'2022'!M27</f>
        <v>115494</v>
      </c>
    </row>
    <row r="28" spans="2:45" ht="5.25" customHeight="1" x14ac:dyDescent="0.2">
      <c r="B28" s="8"/>
      <c r="C28" s="9"/>
      <c r="D28" s="11"/>
      <c r="E28" s="9"/>
      <c r="F28" s="11"/>
      <c r="G28" s="9"/>
      <c r="H28" s="9"/>
      <c r="I28" s="9"/>
      <c r="J28" s="9"/>
      <c r="K28" s="9"/>
      <c r="L28" s="11"/>
      <c r="M28" s="9"/>
      <c r="N28" s="9"/>
      <c r="O28" s="9"/>
      <c r="P28" s="9"/>
      <c r="Q28" s="11"/>
      <c r="R28" s="9"/>
      <c r="S28" s="9"/>
      <c r="T28" s="9"/>
      <c r="U28" s="9"/>
      <c r="V28" s="9"/>
      <c r="W28" s="9"/>
      <c r="X28" s="9"/>
      <c r="Y28" s="9"/>
      <c r="Z28" s="9"/>
      <c r="AA28" s="11"/>
      <c r="AB28" s="9"/>
      <c r="AC28" s="9"/>
      <c r="AD28" s="9"/>
      <c r="AE28" s="9"/>
      <c r="AF28" s="9"/>
      <c r="AG28" s="11"/>
      <c r="AH28" s="9"/>
      <c r="AI28" s="9"/>
      <c r="AJ28" s="9"/>
      <c r="AK28" s="9"/>
      <c r="AL28" s="9"/>
      <c r="AM28" s="9"/>
      <c r="AN28" s="9"/>
      <c r="AO28" s="9"/>
      <c r="AP28" s="9"/>
      <c r="AQ28" s="11"/>
      <c r="AR28" s="9"/>
      <c r="AS28" s="8"/>
    </row>
    <row r="29" spans="2:45" x14ac:dyDescent="0.2">
      <c r="B29" s="8" t="s">
        <v>8</v>
      </c>
      <c r="C29" s="9">
        <f>+'2022'!C29</f>
        <v>8500</v>
      </c>
      <c r="D29" s="11"/>
      <c r="E29" s="9" t="e">
        <f>+#REF!</f>
        <v>#REF!</v>
      </c>
      <c r="F29" s="11"/>
      <c r="G29" s="9">
        <f>+'[42]2017'!$H$25</f>
        <v>57000</v>
      </c>
      <c r="H29" s="9">
        <f>+'[43]2017'!$H$25</f>
        <v>34500</v>
      </c>
      <c r="I29" s="9">
        <f>+'[44]2017'!$H$25</f>
        <v>18000</v>
      </c>
      <c r="J29" s="9">
        <f>+'[45]2017'!$H$25</f>
        <v>14500</v>
      </c>
      <c r="K29" s="9">
        <f t="shared" ref="K29:K55" si="27">SUM(G29:J29)</f>
        <v>124000</v>
      </c>
      <c r="L29" s="11"/>
      <c r="M29" s="9">
        <f>+'[46]2017-IEQA'!$D$23</f>
        <v>1000</v>
      </c>
      <c r="N29" s="9">
        <f>+'[46]2017-IEQA'!$E$23</f>
        <v>4000</v>
      </c>
      <c r="O29" s="9">
        <f>+'[46]2017-IEQA'!$F$23</f>
        <v>10000</v>
      </c>
      <c r="P29" s="9">
        <f t="shared" ref="P29:P55" si="28">SUM(M29:O29)</f>
        <v>15000</v>
      </c>
      <c r="Q29" s="11"/>
      <c r="R29" s="9">
        <f>+'[47]2017'!$D$25</f>
        <v>6000</v>
      </c>
      <c r="S29" s="9">
        <f>+'[47]2017'!$E$25</f>
        <v>5000</v>
      </c>
      <c r="T29" s="9">
        <f>+'[47]2017'!$F$25</f>
        <v>10000</v>
      </c>
      <c r="U29" s="9">
        <f>+'[47]2017'!$G$25</f>
        <v>8500</v>
      </c>
      <c r="V29" s="9">
        <f>+'[47]2017'!$H$25</f>
        <v>30000</v>
      </c>
      <c r="W29" s="9">
        <f>+'[47]2017'!$I$25</f>
        <v>7200</v>
      </c>
      <c r="X29" s="9">
        <f>+'[47]2017'!$J$25</f>
        <v>8000</v>
      </c>
      <c r="Y29" s="9">
        <f>+'[47]2017'!$L$25</f>
        <v>5000</v>
      </c>
      <c r="Z29" s="9">
        <f t="shared" ref="Z29:Z55" si="29">SUM(R29:Y29)</f>
        <v>79700</v>
      </c>
      <c r="AA29" s="11"/>
      <c r="AB29" s="9">
        <f>+'[48]2017'!$D$24</f>
        <v>4000</v>
      </c>
      <c r="AC29" s="9">
        <f>+'[48]2017'!$E$24</f>
        <v>10000</v>
      </c>
      <c r="AD29" s="9">
        <f>+'[48]2017'!$F$24</f>
        <v>12000</v>
      </c>
      <c r="AE29" s="9">
        <f>+'[48]2017'!$G$24</f>
        <v>54000</v>
      </c>
      <c r="AF29" s="9">
        <f t="shared" ref="AF29:AF55" si="30">SUM(AB29:AE29)</f>
        <v>80000</v>
      </c>
      <c r="AG29" s="11"/>
      <c r="AH29" s="9">
        <f>+'[49]2017'!$D$24</f>
        <v>3500</v>
      </c>
      <c r="AI29" s="9">
        <f>+'[49]2017'!$E$24</f>
        <v>10000</v>
      </c>
      <c r="AJ29" s="9">
        <f>+'[49]2017'!$F$24</f>
        <v>4000</v>
      </c>
      <c r="AK29" s="9">
        <f>+'[49]2017'!$G$24</f>
        <v>1500</v>
      </c>
      <c r="AL29" s="9">
        <f>+'[49]2017'!$H$24</f>
        <v>12500</v>
      </c>
      <c r="AM29" s="9">
        <f>+'[49]2017'!$I$24</f>
        <v>500</v>
      </c>
      <c r="AN29" s="9">
        <f>+'[49]2017'!$J$24</f>
        <v>1000</v>
      </c>
      <c r="AO29" s="9">
        <f>+'[49]2017'!$K$24</f>
        <v>25500</v>
      </c>
      <c r="AP29" s="9">
        <f t="shared" ref="AP29:AP55" si="31">SUM(AH29:AO29)</f>
        <v>58500</v>
      </c>
      <c r="AQ29" s="11"/>
      <c r="AR29" s="9" t="e">
        <f t="shared" ref="AR29:AR55" si="32">SUM(C29+K29+P29+Z29+AF29+AP29+E29)</f>
        <v>#REF!</v>
      </c>
      <c r="AS29" s="8" t="s">
        <v>8</v>
      </c>
    </row>
    <row r="30" spans="2:45" x14ac:dyDescent="0.2">
      <c r="B30" s="8" t="s">
        <v>144</v>
      </c>
      <c r="C30" s="9">
        <f>+'2022'!C30</f>
        <v>0</v>
      </c>
      <c r="D30" s="11"/>
      <c r="E30" s="9"/>
      <c r="F30" s="11"/>
      <c r="G30" s="9"/>
      <c r="H30" s="9"/>
      <c r="I30" s="9"/>
      <c r="J30" s="9"/>
      <c r="K30" s="9"/>
      <c r="L30" s="11"/>
      <c r="M30" s="9"/>
      <c r="N30" s="9"/>
      <c r="O30" s="9"/>
      <c r="P30" s="9"/>
      <c r="Q30" s="11"/>
      <c r="R30" s="9"/>
      <c r="S30" s="9"/>
      <c r="T30" s="9"/>
      <c r="U30" s="9"/>
      <c r="V30" s="9"/>
      <c r="W30" s="9"/>
      <c r="X30" s="9"/>
      <c r="Y30" s="9"/>
      <c r="Z30" s="9"/>
      <c r="AA30" s="11"/>
      <c r="AB30" s="9"/>
      <c r="AC30" s="9"/>
      <c r="AD30" s="9"/>
      <c r="AE30" s="9"/>
      <c r="AF30" s="9"/>
      <c r="AG30" s="11"/>
      <c r="AH30" s="9">
        <f>+'[49]2017'!$D$25</f>
        <v>83628</v>
      </c>
      <c r="AI30" s="9"/>
      <c r="AJ30" s="9"/>
      <c r="AK30" s="9"/>
      <c r="AL30" s="9"/>
      <c r="AM30" s="9"/>
      <c r="AN30" s="9"/>
      <c r="AO30" s="9"/>
      <c r="AP30" s="9">
        <f t="shared" si="31"/>
        <v>83628</v>
      </c>
      <c r="AQ30" s="11"/>
      <c r="AR30" s="9">
        <f t="shared" si="32"/>
        <v>83628</v>
      </c>
      <c r="AS30" s="8"/>
    </row>
    <row r="31" spans="2:45" x14ac:dyDescent="0.2">
      <c r="B31" s="8" t="s">
        <v>9</v>
      </c>
      <c r="C31" s="9">
        <f>+'2022'!C31</f>
        <v>1600</v>
      </c>
      <c r="D31" s="11"/>
      <c r="E31" s="9" t="e">
        <f>+#REF!</f>
        <v>#REF!</v>
      </c>
      <c r="F31" s="11"/>
      <c r="G31" s="9">
        <v>1000</v>
      </c>
      <c r="H31" s="9">
        <v>1500</v>
      </c>
      <c r="I31" s="9">
        <v>1000</v>
      </c>
      <c r="J31" s="9">
        <v>0</v>
      </c>
      <c r="K31" s="9">
        <f t="shared" si="27"/>
        <v>3500</v>
      </c>
      <c r="L31" s="11"/>
      <c r="M31" s="9">
        <f>+'[46]2017-IEQA'!$D$24</f>
        <v>1000</v>
      </c>
      <c r="N31" s="9">
        <v>0</v>
      </c>
      <c r="O31" s="9">
        <f>+'[46]2017-IEQA'!$F$24</f>
        <v>1000</v>
      </c>
      <c r="P31" s="9">
        <f t="shared" si="28"/>
        <v>2000</v>
      </c>
      <c r="Q31" s="11"/>
      <c r="R31" s="9">
        <f>+'[47]2017'!$D$26</f>
        <v>3000</v>
      </c>
      <c r="S31" s="9">
        <v>500</v>
      </c>
      <c r="T31" s="9">
        <v>500</v>
      </c>
      <c r="U31" s="9">
        <v>500</v>
      </c>
      <c r="V31" s="9">
        <v>500</v>
      </c>
      <c r="W31" s="9">
        <v>500</v>
      </c>
      <c r="X31" s="9">
        <f>+'[47]2017'!$J$26</f>
        <v>500</v>
      </c>
      <c r="Y31" s="9">
        <v>500</v>
      </c>
      <c r="Z31" s="9">
        <f t="shared" si="29"/>
        <v>6500</v>
      </c>
      <c r="AA31" s="11"/>
      <c r="AB31" s="9">
        <v>0</v>
      </c>
      <c r="AC31" s="9">
        <v>0</v>
      </c>
      <c r="AD31" s="9">
        <f>+'[48]2017'!$F$25</f>
        <v>5000</v>
      </c>
      <c r="AE31" s="9">
        <v>0</v>
      </c>
      <c r="AF31" s="9">
        <f t="shared" si="30"/>
        <v>5000</v>
      </c>
      <c r="AG31" s="11"/>
      <c r="AH31" s="9">
        <f>+'[49]2017'!$D$26</f>
        <v>3000</v>
      </c>
      <c r="AI31" s="9">
        <v>1500</v>
      </c>
      <c r="AJ31" s="9">
        <f>+'[49]2017'!$F$26</f>
        <v>2500</v>
      </c>
      <c r="AK31" s="9">
        <v>0</v>
      </c>
      <c r="AL31" s="9">
        <v>500</v>
      </c>
      <c r="AM31" s="9">
        <v>1000</v>
      </c>
      <c r="AN31" s="9">
        <f>+'[49]2017'!$J$26</f>
        <v>1000</v>
      </c>
      <c r="AO31" s="9">
        <v>0</v>
      </c>
      <c r="AP31" s="9">
        <f t="shared" si="31"/>
        <v>9500</v>
      </c>
      <c r="AQ31" s="11"/>
      <c r="AR31" s="9" t="e">
        <f t="shared" si="32"/>
        <v>#REF!</v>
      </c>
      <c r="AS31" s="8" t="s">
        <v>9</v>
      </c>
    </row>
    <row r="32" spans="2:45" x14ac:dyDescent="0.2">
      <c r="B32" s="8" t="s">
        <v>36</v>
      </c>
      <c r="C32" s="9">
        <f>+'2022'!C32</f>
        <v>0</v>
      </c>
      <c r="D32" s="11"/>
      <c r="E32" s="9"/>
      <c r="F32" s="11"/>
      <c r="G32" s="9">
        <f>+'[42]2017'!$H$27</f>
        <v>12000</v>
      </c>
      <c r="H32" s="9">
        <f>+'[43]2017'!$H$27</f>
        <v>15000</v>
      </c>
      <c r="I32" s="9">
        <v>10000</v>
      </c>
      <c r="J32" s="9">
        <f>+'[45]2017'!$H$27</f>
        <v>8000</v>
      </c>
      <c r="K32" s="9">
        <f t="shared" si="27"/>
        <v>45000</v>
      </c>
      <c r="L32" s="11"/>
      <c r="M32" s="9">
        <v>0</v>
      </c>
      <c r="N32" s="9">
        <f>+'[46]2017-IEQA'!$E$25</f>
        <v>900</v>
      </c>
      <c r="O32" s="9">
        <v>0</v>
      </c>
      <c r="P32" s="9">
        <f t="shared" si="28"/>
        <v>900</v>
      </c>
      <c r="Q32" s="11"/>
      <c r="R32" s="9">
        <f>+'[47]2017'!$D$27</f>
        <v>6000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f>+'[47]2017'!$L$27</f>
        <v>45000</v>
      </c>
      <c r="Z32" s="9">
        <f t="shared" si="29"/>
        <v>51000</v>
      </c>
      <c r="AA32" s="11"/>
      <c r="AB32" s="9">
        <v>0</v>
      </c>
      <c r="AC32" s="9">
        <v>0</v>
      </c>
      <c r="AD32" s="9">
        <v>0</v>
      </c>
      <c r="AE32" s="9">
        <v>0</v>
      </c>
      <c r="AF32" s="9">
        <f t="shared" si="30"/>
        <v>0</v>
      </c>
      <c r="AG32" s="11"/>
      <c r="AH32" s="9">
        <v>0</v>
      </c>
      <c r="AI32" s="9">
        <v>0</v>
      </c>
      <c r="AJ32" s="9">
        <v>0</v>
      </c>
      <c r="AK32" s="9">
        <f>+'[49]2017'!$G$26</f>
        <v>0</v>
      </c>
      <c r="AL32" s="9">
        <v>0</v>
      </c>
      <c r="AM32" s="9">
        <v>0</v>
      </c>
      <c r="AN32" s="9">
        <v>0</v>
      </c>
      <c r="AO32" s="9">
        <v>0</v>
      </c>
      <c r="AP32" s="9">
        <f t="shared" si="31"/>
        <v>0</v>
      </c>
      <c r="AQ32" s="11"/>
      <c r="AR32" s="9">
        <f t="shared" si="32"/>
        <v>96900</v>
      </c>
      <c r="AS32" s="8" t="s">
        <v>36</v>
      </c>
    </row>
    <row r="33" spans="2:45" x14ac:dyDescent="0.2">
      <c r="B33" s="8" t="s">
        <v>71</v>
      </c>
      <c r="C33" s="9">
        <f>+'2022'!C33</f>
        <v>0</v>
      </c>
      <c r="D33" s="11"/>
      <c r="E33" s="9"/>
      <c r="F33" s="11"/>
      <c r="G33" s="9">
        <v>0</v>
      </c>
      <c r="H33" s="9">
        <v>0</v>
      </c>
      <c r="I33" s="9">
        <v>0</v>
      </c>
      <c r="J33" s="9">
        <v>0</v>
      </c>
      <c r="K33" s="9">
        <f t="shared" si="27"/>
        <v>0</v>
      </c>
      <c r="L33" s="11"/>
      <c r="M33" s="9">
        <v>0</v>
      </c>
      <c r="N33" s="9">
        <v>0</v>
      </c>
      <c r="O33" s="9">
        <v>0</v>
      </c>
      <c r="P33" s="9">
        <f t="shared" si="28"/>
        <v>0</v>
      </c>
      <c r="Q33" s="11"/>
      <c r="R33" s="9">
        <f>+'[47]2017'!$D$29</f>
        <v>5000</v>
      </c>
      <c r="S33" s="9">
        <f>+'[47]2017'!$E$27</f>
        <v>1500</v>
      </c>
      <c r="T33" s="9">
        <f>+'[47]2017'!$F$27</f>
        <v>1500</v>
      </c>
      <c r="U33" s="9">
        <v>0</v>
      </c>
      <c r="V33" s="9">
        <v>0</v>
      </c>
      <c r="W33" s="9">
        <f>+'[47]2017'!$I$27</f>
        <v>2500</v>
      </c>
      <c r="X33" s="9">
        <f>+'[47]2017'!$J$27</f>
        <v>100</v>
      </c>
      <c r="Y33" s="9">
        <v>0</v>
      </c>
      <c r="Z33" s="9">
        <f t="shared" si="29"/>
        <v>10600</v>
      </c>
      <c r="AA33" s="11"/>
      <c r="AB33" s="9">
        <v>0</v>
      </c>
      <c r="AC33" s="9">
        <v>0</v>
      </c>
      <c r="AD33" s="9">
        <v>0</v>
      </c>
      <c r="AE33" s="9">
        <v>0</v>
      </c>
      <c r="AF33" s="9">
        <f t="shared" si="30"/>
        <v>0</v>
      </c>
      <c r="AG33" s="11"/>
      <c r="AH33" s="9">
        <f>+'[49]2017'!$D$26</f>
        <v>3000</v>
      </c>
      <c r="AI33" s="9">
        <v>0</v>
      </c>
      <c r="AJ33" s="9">
        <v>0</v>
      </c>
      <c r="AK33" s="9">
        <f>+'[49]2017'!$G$27</f>
        <v>17000</v>
      </c>
      <c r="AL33" s="9">
        <v>0</v>
      </c>
      <c r="AM33" s="9">
        <v>0</v>
      </c>
      <c r="AN33" s="9">
        <v>0</v>
      </c>
      <c r="AO33" s="9">
        <v>0</v>
      </c>
      <c r="AP33" s="9">
        <f t="shared" si="31"/>
        <v>20000</v>
      </c>
      <c r="AQ33" s="11"/>
      <c r="AR33" s="9">
        <f t="shared" si="32"/>
        <v>30600</v>
      </c>
      <c r="AS33" s="8" t="s">
        <v>71</v>
      </c>
    </row>
    <row r="34" spans="2:45" x14ac:dyDescent="0.2">
      <c r="B34" s="8" t="s">
        <v>10</v>
      </c>
      <c r="C34" s="9">
        <f>+'2022'!C35</f>
        <v>0</v>
      </c>
      <c r="D34" s="11"/>
      <c r="E34" s="9"/>
      <c r="F34" s="11"/>
      <c r="G34" s="9">
        <f>+'[42]2017'!$H$35</f>
        <v>0</v>
      </c>
      <c r="H34" s="9">
        <v>0</v>
      </c>
      <c r="I34" s="9">
        <v>0</v>
      </c>
      <c r="J34" s="9">
        <v>0</v>
      </c>
      <c r="K34" s="9">
        <f t="shared" si="27"/>
        <v>0</v>
      </c>
      <c r="L34" s="11"/>
      <c r="M34" s="9">
        <v>0</v>
      </c>
      <c r="N34" s="9">
        <v>0</v>
      </c>
      <c r="O34" s="9">
        <f>+'[46]2017-IEQA'!$F$26</f>
        <v>350000</v>
      </c>
      <c r="P34" s="9">
        <f t="shared" si="28"/>
        <v>350000</v>
      </c>
      <c r="Q34" s="11"/>
      <c r="R34" s="9">
        <f>+'[47]2017'!$D$32</f>
        <v>1000</v>
      </c>
      <c r="S34" s="9">
        <v>0</v>
      </c>
      <c r="T34" s="9">
        <f>+'[47]2017'!$F$32</f>
        <v>500</v>
      </c>
      <c r="U34" s="9">
        <f>+'[47]2017'!$G$32</f>
        <v>1000</v>
      </c>
      <c r="V34" s="9">
        <v>0</v>
      </c>
      <c r="W34" s="9">
        <v>0</v>
      </c>
      <c r="X34" s="9">
        <v>0</v>
      </c>
      <c r="Y34" s="9">
        <v>0</v>
      </c>
      <c r="Z34" s="9">
        <f t="shared" si="29"/>
        <v>2500</v>
      </c>
      <c r="AA34" s="11"/>
      <c r="AB34" s="9">
        <f>+'[48]2017'!$D$29</f>
        <v>2000</v>
      </c>
      <c r="AC34" s="9">
        <v>0</v>
      </c>
      <c r="AD34" s="9">
        <f>+'[48]2017'!$F$29</f>
        <v>1500</v>
      </c>
      <c r="AE34" s="9">
        <v>0</v>
      </c>
      <c r="AF34" s="9">
        <f t="shared" si="30"/>
        <v>3500</v>
      </c>
      <c r="AG34" s="11"/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f>+'[49]2017'!$I$30</f>
        <v>0</v>
      </c>
      <c r="AN34" s="9">
        <v>0</v>
      </c>
      <c r="AO34" s="9">
        <v>0</v>
      </c>
      <c r="AP34" s="9">
        <f t="shared" si="31"/>
        <v>0</v>
      </c>
      <c r="AQ34" s="11"/>
      <c r="AR34" s="9">
        <f t="shared" si="32"/>
        <v>356000</v>
      </c>
      <c r="AS34" s="8" t="s">
        <v>10</v>
      </c>
    </row>
    <row r="35" spans="2:45" x14ac:dyDescent="0.2">
      <c r="B35" s="8" t="s">
        <v>11</v>
      </c>
      <c r="C35" s="9">
        <f>+'2022'!C36</f>
        <v>0</v>
      </c>
      <c r="D35" s="11"/>
      <c r="E35" s="9"/>
      <c r="F35" s="11"/>
      <c r="G35" s="9">
        <v>0</v>
      </c>
      <c r="H35" s="9">
        <v>0</v>
      </c>
      <c r="I35" s="9">
        <v>0</v>
      </c>
      <c r="J35" s="9">
        <v>0</v>
      </c>
      <c r="K35" s="9">
        <f t="shared" si="27"/>
        <v>0</v>
      </c>
      <c r="L35" s="11"/>
      <c r="M35" s="9">
        <v>0</v>
      </c>
      <c r="N35" s="9">
        <v>0</v>
      </c>
      <c r="O35" s="9">
        <v>0</v>
      </c>
      <c r="P35" s="9">
        <f t="shared" si="28"/>
        <v>0</v>
      </c>
      <c r="Q35" s="11"/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f t="shared" si="29"/>
        <v>0</v>
      </c>
      <c r="AA35" s="11"/>
      <c r="AB35" s="9">
        <v>0</v>
      </c>
      <c r="AC35" s="9">
        <f>+'[48]2017'!$E$30</f>
        <v>10000</v>
      </c>
      <c r="AD35" s="9">
        <v>0</v>
      </c>
      <c r="AE35" s="9">
        <v>0</v>
      </c>
      <c r="AF35" s="9">
        <f t="shared" si="30"/>
        <v>10000</v>
      </c>
      <c r="AG35" s="11"/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f t="shared" si="31"/>
        <v>0</v>
      </c>
      <c r="AQ35" s="11"/>
      <c r="AR35" s="9">
        <f t="shared" si="32"/>
        <v>10000</v>
      </c>
      <c r="AS35" s="8" t="s">
        <v>11</v>
      </c>
    </row>
    <row r="36" spans="2:45" x14ac:dyDescent="0.2">
      <c r="B36" s="8" t="s">
        <v>12</v>
      </c>
      <c r="C36" s="9">
        <f>+'2022'!C37</f>
        <v>0</v>
      </c>
      <c r="D36" s="11"/>
      <c r="E36" s="9"/>
      <c r="F36" s="11"/>
      <c r="G36" s="9">
        <v>0</v>
      </c>
      <c r="H36" s="9">
        <f>+'[43]2017'!$H$28</f>
        <v>500</v>
      </c>
      <c r="I36" s="9">
        <f>+'[44]2017'!$H$29</f>
        <v>500</v>
      </c>
      <c r="J36" s="9">
        <f>+'2022'!H37</f>
        <v>0</v>
      </c>
      <c r="K36" s="9">
        <f t="shared" si="27"/>
        <v>1000</v>
      </c>
      <c r="L36" s="11"/>
      <c r="M36" s="9">
        <v>0</v>
      </c>
      <c r="N36" s="9">
        <v>0</v>
      </c>
      <c r="O36" s="9">
        <v>0</v>
      </c>
      <c r="P36" s="9">
        <f t="shared" si="28"/>
        <v>0</v>
      </c>
      <c r="Q36" s="11"/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f>+'[47]2017'!$L$28</f>
        <v>500</v>
      </c>
      <c r="Z36" s="9">
        <f t="shared" si="29"/>
        <v>500</v>
      </c>
      <c r="AA36" s="11"/>
      <c r="AB36" s="9">
        <v>0</v>
      </c>
      <c r="AC36" s="9">
        <v>0</v>
      </c>
      <c r="AD36" s="9">
        <v>0</v>
      </c>
      <c r="AE36" s="9">
        <v>0</v>
      </c>
      <c r="AF36" s="9">
        <f t="shared" si="30"/>
        <v>0</v>
      </c>
      <c r="AG36" s="11"/>
      <c r="AH36" s="9">
        <v>0</v>
      </c>
      <c r="AI36" s="9">
        <f>+'[49]2017'!$E$28</f>
        <v>1000</v>
      </c>
      <c r="AJ36" s="9">
        <f>+'[49]2017'!$F$28</f>
        <v>1500</v>
      </c>
      <c r="AK36" s="9">
        <v>0</v>
      </c>
      <c r="AL36" s="9">
        <v>0</v>
      </c>
      <c r="AM36" s="9">
        <f>+'[49]2017'!$I$28</f>
        <v>500</v>
      </c>
      <c r="AN36" s="9">
        <v>0</v>
      </c>
      <c r="AO36" s="9">
        <v>0</v>
      </c>
      <c r="AP36" s="9">
        <f t="shared" si="31"/>
        <v>3000</v>
      </c>
      <c r="AQ36" s="11"/>
      <c r="AR36" s="9">
        <f t="shared" si="32"/>
        <v>4500</v>
      </c>
      <c r="AS36" s="8" t="s">
        <v>12</v>
      </c>
    </row>
    <row r="37" spans="2:45" x14ac:dyDescent="0.2">
      <c r="B37" s="8" t="s">
        <v>34</v>
      </c>
      <c r="C37" s="9">
        <f>+'2022'!C38</f>
        <v>0</v>
      </c>
      <c r="D37" s="11"/>
      <c r="E37" s="9"/>
      <c r="F37" s="11"/>
      <c r="G37" s="9">
        <v>0</v>
      </c>
      <c r="H37" s="9">
        <v>0</v>
      </c>
      <c r="I37" s="9">
        <v>0</v>
      </c>
      <c r="J37" s="9">
        <v>0</v>
      </c>
      <c r="K37" s="9">
        <f t="shared" si="27"/>
        <v>0</v>
      </c>
      <c r="L37" s="11"/>
      <c r="M37" s="9">
        <f>+'[46]2017-IEQA'!$D$27</f>
        <v>100000</v>
      </c>
      <c r="N37" s="9">
        <v>0</v>
      </c>
      <c r="O37" s="9">
        <v>0</v>
      </c>
      <c r="P37" s="9">
        <f t="shared" si="28"/>
        <v>100000</v>
      </c>
      <c r="Q37" s="11"/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f t="shared" si="29"/>
        <v>0</v>
      </c>
      <c r="AA37" s="11"/>
      <c r="AB37" s="9">
        <v>0</v>
      </c>
      <c r="AC37" s="9">
        <v>0</v>
      </c>
      <c r="AD37" s="9">
        <v>0</v>
      </c>
      <c r="AE37" s="9">
        <v>0</v>
      </c>
      <c r="AF37" s="9">
        <f t="shared" si="30"/>
        <v>0</v>
      </c>
      <c r="AG37" s="11"/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f t="shared" si="31"/>
        <v>0</v>
      </c>
      <c r="AQ37" s="11"/>
      <c r="AR37" s="9">
        <f t="shared" si="32"/>
        <v>100000</v>
      </c>
      <c r="AS37" s="8" t="s">
        <v>34</v>
      </c>
    </row>
    <row r="38" spans="2:45" x14ac:dyDescent="0.2">
      <c r="B38" s="8" t="s">
        <v>14</v>
      </c>
      <c r="C38" s="9">
        <f>+'2022'!C39</f>
        <v>0</v>
      </c>
      <c r="D38" s="11"/>
      <c r="E38" s="9"/>
      <c r="F38" s="11"/>
      <c r="G38" s="9">
        <f>+'[42]2017'!$H$28-24829.3</f>
        <v>95341.7</v>
      </c>
      <c r="H38" s="9">
        <f>+'[43]2017'!$H$29</f>
        <v>98660</v>
      </c>
      <c r="I38" s="9">
        <f>+'[44]2017'!$H$30</f>
        <v>50000</v>
      </c>
      <c r="J38" s="9">
        <f>+'[45]2017'!$H$30</f>
        <v>75437</v>
      </c>
      <c r="K38" s="9">
        <f t="shared" si="27"/>
        <v>319438.7</v>
      </c>
      <c r="L38" s="11"/>
      <c r="M38" s="9">
        <v>0</v>
      </c>
      <c r="N38" s="9">
        <v>0</v>
      </c>
      <c r="O38" s="9">
        <v>0</v>
      </c>
      <c r="P38" s="9">
        <f t="shared" si="28"/>
        <v>0</v>
      </c>
      <c r="Q38" s="11"/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f t="shared" si="29"/>
        <v>0</v>
      </c>
      <c r="AA38" s="11"/>
      <c r="AB38" s="9">
        <v>0</v>
      </c>
      <c r="AC38" s="9">
        <v>0</v>
      </c>
      <c r="AD38" s="9">
        <v>0</v>
      </c>
      <c r="AE38" s="9">
        <f>+'[48]2017'!$G$27</f>
        <v>438862.44</v>
      </c>
      <c r="AF38" s="9">
        <f t="shared" si="30"/>
        <v>438862.44</v>
      </c>
      <c r="AG38" s="11"/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f t="shared" si="31"/>
        <v>0</v>
      </c>
      <c r="AQ38" s="11"/>
      <c r="AR38" s="9">
        <f t="shared" si="32"/>
        <v>758301.14</v>
      </c>
      <c r="AS38" s="8" t="s">
        <v>14</v>
      </c>
    </row>
    <row r="39" spans="2:45" x14ac:dyDescent="0.2">
      <c r="B39" s="8" t="s">
        <v>15</v>
      </c>
      <c r="C39" s="9">
        <f>+'2022'!C40</f>
        <v>0</v>
      </c>
      <c r="D39" s="11"/>
      <c r="E39" s="9"/>
      <c r="F39" s="11"/>
      <c r="G39" s="9">
        <f>+'[42]2017'!$H$29</f>
        <v>10000</v>
      </c>
      <c r="H39" s="9">
        <f>+'[43]2017'!$H$30</f>
        <v>19822</v>
      </c>
      <c r="I39" s="9">
        <f>+'[44]2017'!$H$31</f>
        <v>6000</v>
      </c>
      <c r="J39" s="9">
        <f>+'[45]2017'!$H$31</f>
        <v>1900</v>
      </c>
      <c r="K39" s="9">
        <f t="shared" si="27"/>
        <v>37722</v>
      </c>
      <c r="L39" s="11"/>
      <c r="M39" s="9">
        <v>0</v>
      </c>
      <c r="N39" s="9">
        <v>0</v>
      </c>
      <c r="O39" s="9">
        <v>0</v>
      </c>
      <c r="P39" s="9">
        <f t="shared" si="28"/>
        <v>0</v>
      </c>
      <c r="Q39" s="11"/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f>+'[47]2017'!$J$30</f>
        <v>0</v>
      </c>
      <c r="Y39" s="9">
        <v>0</v>
      </c>
      <c r="Z39" s="9">
        <f t="shared" si="29"/>
        <v>0</v>
      </c>
      <c r="AA39" s="11"/>
      <c r="AB39" s="9">
        <v>0</v>
      </c>
      <c r="AC39" s="9">
        <v>0</v>
      </c>
      <c r="AD39" s="9">
        <v>0</v>
      </c>
      <c r="AE39" s="9">
        <f>+'[48]2017'!$G$28</f>
        <v>60000</v>
      </c>
      <c r="AF39" s="9">
        <f t="shared" si="30"/>
        <v>60000</v>
      </c>
      <c r="AG39" s="11"/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f>+'[49]2017'!$K$29</f>
        <v>3000</v>
      </c>
      <c r="AP39" s="9">
        <f t="shared" si="31"/>
        <v>3000</v>
      </c>
      <c r="AQ39" s="11"/>
      <c r="AR39" s="9">
        <f t="shared" si="32"/>
        <v>100722</v>
      </c>
      <c r="AS39" s="8" t="s">
        <v>15</v>
      </c>
    </row>
    <row r="40" spans="2:45" x14ac:dyDescent="0.2">
      <c r="B40" s="8" t="s">
        <v>23</v>
      </c>
      <c r="C40" s="9">
        <f>+'2022'!C42</f>
        <v>0</v>
      </c>
      <c r="D40" s="11"/>
      <c r="E40" s="9"/>
      <c r="F40" s="11"/>
      <c r="G40" s="9">
        <f>+'[42]2017'!$H$30</f>
        <v>1000</v>
      </c>
      <c r="H40" s="9">
        <f>+'[43]2017'!$H$31</f>
        <v>2500</v>
      </c>
      <c r="I40" s="9">
        <f>+'[44]2017'!$H$32</f>
        <v>2500</v>
      </c>
      <c r="J40" s="9">
        <f>+'2022'!H42</f>
        <v>250</v>
      </c>
      <c r="K40" s="9">
        <f t="shared" si="27"/>
        <v>6250</v>
      </c>
      <c r="L40" s="11"/>
      <c r="M40" s="9">
        <v>0</v>
      </c>
      <c r="N40" s="9">
        <v>0</v>
      </c>
      <c r="O40" s="9">
        <v>0</v>
      </c>
      <c r="P40" s="9">
        <f t="shared" si="28"/>
        <v>0</v>
      </c>
      <c r="Q40" s="11"/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f t="shared" si="29"/>
        <v>0</v>
      </c>
      <c r="AA40" s="11"/>
      <c r="AB40" s="9">
        <v>0</v>
      </c>
      <c r="AC40" s="9">
        <v>0</v>
      </c>
      <c r="AD40" s="9">
        <v>0</v>
      </c>
      <c r="AE40" s="9">
        <v>0</v>
      </c>
      <c r="AF40" s="9">
        <f t="shared" si="30"/>
        <v>0</v>
      </c>
      <c r="AG40" s="11"/>
      <c r="AH40" s="9">
        <v>0</v>
      </c>
      <c r="AI40" s="9">
        <f>+'[49]2017'!$E$30</f>
        <v>15000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f t="shared" si="31"/>
        <v>15000</v>
      </c>
      <c r="AQ40" s="11"/>
      <c r="AR40" s="9">
        <f t="shared" si="32"/>
        <v>21250</v>
      </c>
      <c r="AS40" s="8" t="s">
        <v>23</v>
      </c>
    </row>
    <row r="41" spans="2:45" x14ac:dyDescent="0.2">
      <c r="B41" s="8" t="s">
        <v>24</v>
      </c>
      <c r="C41" s="9">
        <f>+'2022'!C43</f>
        <v>0</v>
      </c>
      <c r="D41" s="11"/>
      <c r="E41" s="9"/>
      <c r="F41" s="11"/>
      <c r="G41" s="9">
        <f>+'[42]2017'!$H$31</f>
        <v>500</v>
      </c>
      <c r="H41" s="9">
        <v>0</v>
      </c>
      <c r="I41" s="9">
        <v>0</v>
      </c>
      <c r="J41" s="9">
        <v>0</v>
      </c>
      <c r="K41" s="9">
        <f t="shared" si="27"/>
        <v>500</v>
      </c>
      <c r="L41" s="11"/>
      <c r="M41" s="9">
        <v>0</v>
      </c>
      <c r="N41" s="9">
        <v>0</v>
      </c>
      <c r="O41" s="9">
        <v>0</v>
      </c>
      <c r="P41" s="9">
        <f t="shared" si="28"/>
        <v>0</v>
      </c>
      <c r="Q41" s="11"/>
      <c r="R41" s="9">
        <f>+'[47]2017'!$D$37</f>
        <v>2000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f t="shared" si="29"/>
        <v>2000</v>
      </c>
      <c r="AA41" s="11"/>
      <c r="AB41" s="9">
        <v>0</v>
      </c>
      <c r="AC41" s="9">
        <v>0</v>
      </c>
      <c r="AD41" s="9">
        <v>0</v>
      </c>
      <c r="AE41" s="9">
        <v>0</v>
      </c>
      <c r="AF41" s="9">
        <f t="shared" si="30"/>
        <v>0</v>
      </c>
      <c r="AG41" s="11"/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f t="shared" si="31"/>
        <v>0</v>
      </c>
      <c r="AQ41" s="11"/>
      <c r="AR41" s="9">
        <f t="shared" si="32"/>
        <v>2500</v>
      </c>
      <c r="AS41" s="8" t="s">
        <v>24</v>
      </c>
    </row>
    <row r="42" spans="2:45" x14ac:dyDescent="0.2">
      <c r="B42" s="8" t="s">
        <v>52</v>
      </c>
      <c r="C42" s="9">
        <f>+'2022'!C44</f>
        <v>0</v>
      </c>
      <c r="D42" s="11"/>
      <c r="E42" s="9"/>
      <c r="F42" s="11"/>
      <c r="G42" s="9">
        <v>0</v>
      </c>
      <c r="H42" s="9">
        <v>0</v>
      </c>
      <c r="I42" s="9">
        <v>0</v>
      </c>
      <c r="J42" s="9">
        <v>0</v>
      </c>
      <c r="K42" s="9">
        <f t="shared" si="27"/>
        <v>0</v>
      </c>
      <c r="L42" s="11"/>
      <c r="M42" s="9">
        <v>0</v>
      </c>
      <c r="N42" s="9">
        <v>0</v>
      </c>
      <c r="O42" s="9">
        <v>0</v>
      </c>
      <c r="P42" s="9">
        <f t="shared" si="28"/>
        <v>0</v>
      </c>
      <c r="Q42" s="11"/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f t="shared" si="29"/>
        <v>0</v>
      </c>
      <c r="AA42" s="11"/>
      <c r="AB42" s="9">
        <v>0</v>
      </c>
      <c r="AC42" s="9">
        <v>0</v>
      </c>
      <c r="AD42" s="9">
        <v>0</v>
      </c>
      <c r="AE42" s="9">
        <v>0</v>
      </c>
      <c r="AF42" s="9">
        <f t="shared" si="30"/>
        <v>0</v>
      </c>
      <c r="AG42" s="11"/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f t="shared" si="31"/>
        <v>0</v>
      </c>
      <c r="AQ42" s="11"/>
      <c r="AR42" s="9">
        <f t="shared" si="32"/>
        <v>0</v>
      </c>
      <c r="AS42" s="8" t="s">
        <v>52</v>
      </c>
    </row>
    <row r="43" spans="2:45" x14ac:dyDescent="0.2">
      <c r="B43" s="8" t="s">
        <v>69</v>
      </c>
      <c r="C43" s="9">
        <f>+'2022'!C46</f>
        <v>0</v>
      </c>
      <c r="D43" s="11"/>
      <c r="E43" s="9"/>
      <c r="F43" s="11"/>
      <c r="G43" s="9">
        <f>+'[42]2017'!$H$36</f>
        <v>40000</v>
      </c>
      <c r="H43" s="9">
        <f>+'[43]2017'!$H$37</f>
        <v>38000</v>
      </c>
      <c r="I43" s="9">
        <f>+'[44]2017'!$H$38</f>
        <v>18000</v>
      </c>
      <c r="J43" s="9">
        <f>+'[45]2017'!$H$38</f>
        <v>9250</v>
      </c>
      <c r="K43" s="9">
        <f t="shared" si="27"/>
        <v>105250</v>
      </c>
      <c r="L43" s="11"/>
      <c r="M43" s="9">
        <v>0</v>
      </c>
      <c r="N43" s="9">
        <v>0</v>
      </c>
      <c r="O43" s="9">
        <v>0</v>
      </c>
      <c r="P43" s="9">
        <f t="shared" si="28"/>
        <v>0</v>
      </c>
      <c r="Q43" s="11"/>
      <c r="R43" s="9">
        <f>+'[47]2017'!$D$36</f>
        <v>1000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f t="shared" si="29"/>
        <v>1000</v>
      </c>
      <c r="AA43" s="11"/>
      <c r="AB43" s="9">
        <v>0</v>
      </c>
      <c r="AC43" s="9">
        <v>0</v>
      </c>
      <c r="AD43" s="9">
        <v>0</v>
      </c>
      <c r="AE43" s="9">
        <f>+'[48]2017'!$G$35</f>
        <v>220000</v>
      </c>
      <c r="AF43" s="9">
        <f t="shared" si="30"/>
        <v>220000</v>
      </c>
      <c r="AG43" s="11"/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f t="shared" si="31"/>
        <v>0</v>
      </c>
      <c r="AQ43" s="11"/>
      <c r="AR43" s="9">
        <f t="shared" si="32"/>
        <v>326250</v>
      </c>
      <c r="AS43" s="8" t="s">
        <v>69</v>
      </c>
    </row>
    <row r="44" spans="2:45" x14ac:dyDescent="0.2">
      <c r="B44" s="8" t="s">
        <v>88</v>
      </c>
      <c r="C44" s="9">
        <f>+'2022'!C47</f>
        <v>0</v>
      </c>
      <c r="D44" s="11"/>
      <c r="E44" s="9"/>
      <c r="F44" s="11"/>
      <c r="G44" s="9"/>
      <c r="H44" s="9">
        <v>0</v>
      </c>
      <c r="I44" s="9"/>
      <c r="J44" s="9"/>
      <c r="K44" s="9">
        <f t="shared" si="27"/>
        <v>0</v>
      </c>
      <c r="L44" s="11"/>
      <c r="M44" s="9"/>
      <c r="N44" s="9"/>
      <c r="O44" s="9"/>
      <c r="P44" s="9"/>
      <c r="Q44" s="11"/>
      <c r="R44" s="9"/>
      <c r="S44" s="9"/>
      <c r="T44" s="9"/>
      <c r="U44" s="9"/>
      <c r="V44" s="9"/>
      <c r="W44" s="9"/>
      <c r="X44" s="9"/>
      <c r="Y44" s="9"/>
      <c r="Z44" s="9">
        <f t="shared" si="29"/>
        <v>0</v>
      </c>
      <c r="AA44" s="11"/>
      <c r="AB44" s="9"/>
      <c r="AC44" s="9"/>
      <c r="AD44" s="9"/>
      <c r="AE44" s="9"/>
      <c r="AF44" s="9"/>
      <c r="AG44" s="11"/>
      <c r="AH44" s="9"/>
      <c r="AI44" s="9"/>
      <c r="AJ44" s="9"/>
      <c r="AK44" s="9"/>
      <c r="AL44" s="9"/>
      <c r="AM44" s="9"/>
      <c r="AN44" s="9"/>
      <c r="AO44" s="9"/>
      <c r="AP44" s="9"/>
      <c r="AQ44" s="11"/>
      <c r="AR44" s="9">
        <f t="shared" si="32"/>
        <v>0</v>
      </c>
      <c r="AS44" s="8"/>
    </row>
    <row r="45" spans="2:45" x14ac:dyDescent="0.2">
      <c r="B45" s="20" t="s">
        <v>89</v>
      </c>
      <c r="C45" s="9">
        <f>+'2022'!C48</f>
        <v>0</v>
      </c>
      <c r="D45" s="11"/>
      <c r="E45" s="9"/>
      <c r="F45" s="11"/>
      <c r="G45" s="9"/>
      <c r="H45" s="9">
        <f>86515+8749+9600</f>
        <v>104864</v>
      </c>
      <c r="I45" s="9"/>
      <c r="J45" s="9"/>
      <c r="K45" s="9">
        <f t="shared" si="27"/>
        <v>104864</v>
      </c>
      <c r="L45" s="11"/>
      <c r="M45" s="9"/>
      <c r="N45" s="9"/>
      <c r="O45" s="9"/>
      <c r="P45" s="9"/>
      <c r="Q45" s="11"/>
      <c r="R45" s="9"/>
      <c r="S45" s="9"/>
      <c r="T45" s="9"/>
      <c r="U45" s="9"/>
      <c r="V45" s="9"/>
      <c r="W45" s="9"/>
      <c r="X45" s="9"/>
      <c r="Y45" s="9"/>
      <c r="Z45" s="9">
        <f t="shared" si="29"/>
        <v>0</v>
      </c>
      <c r="AA45" s="11"/>
      <c r="AB45" s="9"/>
      <c r="AC45" s="9"/>
      <c r="AD45" s="9"/>
      <c r="AE45" s="9"/>
      <c r="AF45" s="9"/>
      <c r="AG45" s="11"/>
      <c r="AH45" s="9"/>
      <c r="AI45" s="9"/>
      <c r="AJ45" s="9"/>
      <c r="AK45" s="9"/>
      <c r="AL45" s="9"/>
      <c r="AM45" s="9"/>
      <c r="AN45" s="9"/>
      <c r="AO45" s="9"/>
      <c r="AP45" s="9"/>
      <c r="AQ45" s="11"/>
      <c r="AR45" s="9">
        <f t="shared" si="32"/>
        <v>104864</v>
      </c>
      <c r="AS45" s="8"/>
    </row>
    <row r="46" spans="2:45" x14ac:dyDescent="0.2">
      <c r="B46" s="8" t="s">
        <v>27</v>
      </c>
      <c r="C46" s="9">
        <f>+'2022'!C49</f>
        <v>15876</v>
      </c>
      <c r="D46" s="11"/>
      <c r="E46" s="9" t="e">
        <f>+#REF!</f>
        <v>#REF!</v>
      </c>
      <c r="F46" s="11"/>
      <c r="G46" s="9">
        <v>0</v>
      </c>
      <c r="H46" s="9">
        <v>0</v>
      </c>
      <c r="I46" s="9">
        <v>0</v>
      </c>
      <c r="J46" s="9">
        <v>0</v>
      </c>
      <c r="K46" s="9">
        <f t="shared" si="27"/>
        <v>0</v>
      </c>
      <c r="L46" s="11"/>
      <c r="M46" s="9">
        <f>+'[46]2017-IEQA'!$D$28</f>
        <v>500</v>
      </c>
      <c r="N46" s="9">
        <f>+'[46]2017-IEQA'!$E$28</f>
        <v>850</v>
      </c>
      <c r="O46" s="9">
        <f>+'[46]2017-IEQA'!$F$28</f>
        <v>15580</v>
      </c>
      <c r="P46" s="9">
        <f t="shared" si="28"/>
        <v>16930</v>
      </c>
      <c r="Q46" s="11"/>
      <c r="R46" s="9">
        <f>+'[47]2017'!$D$35</f>
        <v>1000</v>
      </c>
      <c r="S46" s="9">
        <f>+'[47]2017'!$E$35</f>
        <v>500</v>
      </c>
      <c r="T46" s="9">
        <f>+'[47]2017'!$F$35</f>
        <v>1500</v>
      </c>
      <c r="U46" s="9">
        <f>+'[47]2017'!$G$35</f>
        <v>1000</v>
      </c>
      <c r="V46" s="9">
        <v>0</v>
      </c>
      <c r="W46" s="9">
        <v>0</v>
      </c>
      <c r="X46" s="9">
        <f>+'[47]2017'!$J$35</f>
        <v>1000</v>
      </c>
      <c r="Y46" s="9">
        <f>+'[47]2017'!$L$35</f>
        <v>3000</v>
      </c>
      <c r="Z46" s="9">
        <f t="shared" si="29"/>
        <v>8000</v>
      </c>
      <c r="AA46" s="11"/>
      <c r="AB46" s="9">
        <v>0</v>
      </c>
      <c r="AC46" s="9">
        <v>0</v>
      </c>
      <c r="AD46" s="9">
        <f>+'[48]2017'!$F$33</f>
        <v>3800</v>
      </c>
      <c r="AE46" s="9">
        <v>0</v>
      </c>
      <c r="AF46" s="9">
        <f t="shared" si="30"/>
        <v>3800</v>
      </c>
      <c r="AG46" s="11"/>
      <c r="AH46" s="9">
        <v>0</v>
      </c>
      <c r="AI46" s="9">
        <f>+'[49]2017'!$E$32</f>
        <v>1000</v>
      </c>
      <c r="AJ46" s="9">
        <f>+'[49]2017'!$F$32-1500</f>
        <v>1500</v>
      </c>
      <c r="AK46" s="9">
        <f>+'[49]2017'!$G$32</f>
        <v>1000</v>
      </c>
      <c r="AL46" s="9">
        <v>0</v>
      </c>
      <c r="AM46" s="9">
        <f>+'[49]2017'!$I$32</f>
        <v>225</v>
      </c>
      <c r="AN46" s="9">
        <v>0</v>
      </c>
      <c r="AO46" s="9">
        <v>0</v>
      </c>
      <c r="AP46" s="9">
        <f t="shared" si="31"/>
        <v>3725</v>
      </c>
      <c r="AQ46" s="11"/>
      <c r="AR46" s="9" t="e">
        <f t="shared" si="32"/>
        <v>#REF!</v>
      </c>
      <c r="AS46" s="8" t="s">
        <v>27</v>
      </c>
    </row>
    <row r="47" spans="2:45" x14ac:dyDescent="0.2">
      <c r="B47" s="8" t="s">
        <v>25</v>
      </c>
      <c r="C47" s="9">
        <f>+'2022'!C50</f>
        <v>0</v>
      </c>
      <c r="D47" s="11"/>
      <c r="E47" s="9"/>
      <c r="F47" s="11"/>
      <c r="G47" s="9">
        <f>+'[42]2017'!$H$33</f>
        <v>500</v>
      </c>
      <c r="H47" s="9">
        <v>0</v>
      </c>
      <c r="I47" s="9">
        <v>0</v>
      </c>
      <c r="J47" s="9">
        <f>+'[45]2017'!$H$35</f>
        <v>0</v>
      </c>
      <c r="K47" s="9">
        <f t="shared" si="27"/>
        <v>500</v>
      </c>
      <c r="L47" s="11"/>
      <c r="M47" s="9">
        <v>0</v>
      </c>
      <c r="N47" s="9">
        <v>0</v>
      </c>
      <c r="O47" s="9">
        <v>0</v>
      </c>
      <c r="P47" s="9">
        <f t="shared" si="28"/>
        <v>0</v>
      </c>
      <c r="Q47" s="11"/>
      <c r="R47" s="9">
        <v>0</v>
      </c>
      <c r="S47" s="9">
        <f>+'[47]2017'!$E$33</f>
        <v>500</v>
      </c>
      <c r="T47" s="9">
        <v>0</v>
      </c>
      <c r="U47" s="9">
        <v>0</v>
      </c>
      <c r="V47" s="9">
        <v>0</v>
      </c>
      <c r="W47" s="9">
        <v>0</v>
      </c>
      <c r="X47" s="9">
        <f>+'[47]2017'!$J$33</f>
        <v>750</v>
      </c>
      <c r="Y47" s="9">
        <v>0</v>
      </c>
      <c r="Z47" s="9">
        <f t="shared" si="29"/>
        <v>1250</v>
      </c>
      <c r="AA47" s="11"/>
      <c r="AB47" s="9">
        <v>0</v>
      </c>
      <c r="AC47" s="9">
        <v>0</v>
      </c>
      <c r="AD47" s="9">
        <v>0</v>
      </c>
      <c r="AE47" s="9">
        <v>0</v>
      </c>
      <c r="AF47" s="9">
        <f t="shared" si="30"/>
        <v>0</v>
      </c>
      <c r="AG47" s="11"/>
      <c r="AH47" s="9">
        <f>+'[49]2017'!$D$33</f>
        <v>111504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f t="shared" si="31"/>
        <v>111504</v>
      </c>
      <c r="AQ47" s="11"/>
      <c r="AR47" s="9">
        <f t="shared" si="32"/>
        <v>113254</v>
      </c>
      <c r="AS47" s="8" t="s">
        <v>25</v>
      </c>
    </row>
    <row r="48" spans="2:45" x14ac:dyDescent="0.2">
      <c r="B48" s="8" t="s">
        <v>70</v>
      </c>
      <c r="C48" s="9">
        <f>+'2022'!C51</f>
        <v>0</v>
      </c>
      <c r="D48" s="11"/>
      <c r="E48" s="9"/>
      <c r="F48" s="11"/>
      <c r="G48" s="9">
        <v>0</v>
      </c>
      <c r="H48" s="9">
        <v>0</v>
      </c>
      <c r="I48" s="9">
        <v>0</v>
      </c>
      <c r="J48" s="9">
        <v>0</v>
      </c>
      <c r="K48" s="9">
        <f t="shared" si="27"/>
        <v>0</v>
      </c>
      <c r="L48" s="11"/>
      <c r="M48" s="9">
        <v>0</v>
      </c>
      <c r="N48" s="9">
        <v>0</v>
      </c>
      <c r="O48" s="9">
        <v>0</v>
      </c>
      <c r="P48" s="9">
        <f t="shared" si="28"/>
        <v>0</v>
      </c>
      <c r="Q48" s="11"/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f>+'[47]2017'!$J$38</f>
        <v>750</v>
      </c>
      <c r="Y48" s="9">
        <v>0</v>
      </c>
      <c r="Z48" s="9">
        <f t="shared" si="29"/>
        <v>750</v>
      </c>
      <c r="AA48" s="11"/>
      <c r="AB48" s="9">
        <v>0</v>
      </c>
      <c r="AC48" s="9">
        <v>0</v>
      </c>
      <c r="AD48" s="9">
        <v>0</v>
      </c>
      <c r="AE48" s="9">
        <v>0</v>
      </c>
      <c r="AF48" s="9">
        <f t="shared" si="30"/>
        <v>0</v>
      </c>
      <c r="AG48" s="11"/>
      <c r="AH48" s="9">
        <f>+'[49]2017'!$D$34+5000</f>
        <v>20000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f t="shared" si="31"/>
        <v>20000</v>
      </c>
      <c r="AQ48" s="11"/>
      <c r="AR48" s="9">
        <f t="shared" si="32"/>
        <v>20750</v>
      </c>
      <c r="AS48" s="8" t="s">
        <v>70</v>
      </c>
    </row>
    <row r="49" spans="2:45" x14ac:dyDescent="0.2">
      <c r="B49" s="8" t="s">
        <v>21</v>
      </c>
      <c r="C49" s="9">
        <f>+'2022'!C52</f>
        <v>0</v>
      </c>
      <c r="D49" s="11"/>
      <c r="E49" s="9"/>
      <c r="F49" s="11"/>
      <c r="G49" s="9">
        <v>0</v>
      </c>
      <c r="H49" s="9">
        <v>0</v>
      </c>
      <c r="I49" s="9">
        <v>0</v>
      </c>
      <c r="J49" s="9">
        <v>0</v>
      </c>
      <c r="K49" s="9">
        <f t="shared" si="27"/>
        <v>0</v>
      </c>
      <c r="L49" s="11"/>
      <c r="M49" s="9">
        <v>0</v>
      </c>
      <c r="N49" s="9">
        <v>0</v>
      </c>
      <c r="O49" s="9">
        <v>0</v>
      </c>
      <c r="P49" s="9">
        <f t="shared" si="28"/>
        <v>0</v>
      </c>
      <c r="Q49" s="11"/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f t="shared" si="29"/>
        <v>0</v>
      </c>
      <c r="AA49" s="11"/>
      <c r="AB49" s="9">
        <v>0</v>
      </c>
      <c r="AC49" s="9">
        <v>0</v>
      </c>
      <c r="AD49" s="9">
        <v>0</v>
      </c>
      <c r="AE49" s="9">
        <v>0</v>
      </c>
      <c r="AF49" s="9">
        <f t="shared" si="30"/>
        <v>0</v>
      </c>
      <c r="AG49" s="11"/>
      <c r="AH49" s="9">
        <f>+'[49]2017'!$D$35</f>
        <v>65000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f t="shared" si="31"/>
        <v>65000</v>
      </c>
      <c r="AQ49" s="11"/>
      <c r="AR49" s="9">
        <f t="shared" si="32"/>
        <v>65000</v>
      </c>
      <c r="AS49" s="8" t="s">
        <v>21</v>
      </c>
    </row>
    <row r="50" spans="2:45" x14ac:dyDescent="0.2">
      <c r="B50" s="8" t="s">
        <v>26</v>
      </c>
      <c r="C50" s="9">
        <f>+'2022'!C53</f>
        <v>0</v>
      </c>
      <c r="D50" s="11"/>
      <c r="E50" s="9"/>
      <c r="F50" s="11"/>
      <c r="G50" s="9">
        <f>+'[42]2017'!$H$39</f>
        <v>12500</v>
      </c>
      <c r="H50" s="9">
        <f>+'[43]2017'!$H$40</f>
        <v>10000</v>
      </c>
      <c r="I50" s="9">
        <f>+'[44]2017'!$H$41</f>
        <v>12500</v>
      </c>
      <c r="J50" s="9">
        <f>+'[45]2017'!$H$41</f>
        <v>15000</v>
      </c>
      <c r="K50" s="9">
        <f t="shared" si="27"/>
        <v>50000</v>
      </c>
      <c r="L50" s="11"/>
      <c r="M50" s="9">
        <v>0</v>
      </c>
      <c r="N50" s="9">
        <v>0</v>
      </c>
      <c r="O50" s="9">
        <v>0</v>
      </c>
      <c r="P50" s="9">
        <f t="shared" si="28"/>
        <v>0</v>
      </c>
      <c r="Q50" s="11"/>
      <c r="R50" s="9">
        <f>+'[47]2017'!$D$31</f>
        <v>17000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f t="shared" si="29"/>
        <v>17000</v>
      </c>
      <c r="AA50" s="11"/>
      <c r="AB50" s="9">
        <v>0</v>
      </c>
      <c r="AC50" s="9">
        <f>+'[48]2017'!$E$34</f>
        <v>25000</v>
      </c>
      <c r="AD50" s="9">
        <v>0</v>
      </c>
      <c r="AE50" s="9">
        <f>+'[48]2017'!$G$34</f>
        <v>0</v>
      </c>
      <c r="AF50" s="9">
        <f t="shared" si="30"/>
        <v>25000</v>
      </c>
      <c r="AG50" s="11"/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f t="shared" si="31"/>
        <v>0</v>
      </c>
      <c r="AQ50" s="11"/>
      <c r="AR50" s="9">
        <f t="shared" si="32"/>
        <v>92000</v>
      </c>
      <c r="AS50" s="8" t="s">
        <v>26</v>
      </c>
    </row>
    <row r="51" spans="2:45" x14ac:dyDescent="0.2">
      <c r="B51" s="8" t="s">
        <v>64</v>
      </c>
      <c r="C51" s="9">
        <f>+'2022'!C54</f>
        <v>30000</v>
      </c>
      <c r="D51" s="11"/>
      <c r="E51" s="9"/>
      <c r="F51" s="11"/>
      <c r="G51" s="9">
        <v>0</v>
      </c>
      <c r="H51" s="9">
        <v>0</v>
      </c>
      <c r="I51" s="9">
        <v>0</v>
      </c>
      <c r="J51" s="9">
        <v>0</v>
      </c>
      <c r="K51" s="9">
        <f t="shared" si="27"/>
        <v>0</v>
      </c>
      <c r="L51" s="11"/>
      <c r="M51" s="9">
        <v>0</v>
      </c>
      <c r="N51" s="9">
        <v>0</v>
      </c>
      <c r="O51" s="9">
        <v>0</v>
      </c>
      <c r="P51" s="9">
        <f t="shared" si="28"/>
        <v>0</v>
      </c>
      <c r="Q51" s="11"/>
      <c r="R51" s="9">
        <f>+'[47]2017'!$D$39</f>
        <v>15000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f t="shared" si="29"/>
        <v>15000</v>
      </c>
      <c r="AA51" s="11"/>
      <c r="AB51" s="9">
        <f>+'[48]2017'!$D$32</f>
        <v>34000</v>
      </c>
      <c r="AC51" s="9">
        <v>0</v>
      </c>
      <c r="AD51" s="9">
        <v>0</v>
      </c>
      <c r="AE51" s="9">
        <v>0</v>
      </c>
      <c r="AF51" s="9">
        <f t="shared" si="30"/>
        <v>34000</v>
      </c>
      <c r="AG51" s="11"/>
      <c r="AH51" s="9">
        <f>+'[49]2017'!$D$36</f>
        <v>7000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f t="shared" si="31"/>
        <v>7000</v>
      </c>
      <c r="AQ51" s="11"/>
      <c r="AR51" s="9">
        <f t="shared" si="32"/>
        <v>86000</v>
      </c>
      <c r="AS51" s="8" t="s">
        <v>64</v>
      </c>
    </row>
    <row r="52" spans="2:45" x14ac:dyDescent="0.2">
      <c r="B52" s="8" t="s">
        <v>35</v>
      </c>
      <c r="C52" s="9">
        <f>+'2022'!C55</f>
        <v>20000</v>
      </c>
      <c r="D52" s="11"/>
      <c r="E52" s="9"/>
      <c r="F52" s="11"/>
      <c r="G52" s="9">
        <v>0</v>
      </c>
      <c r="H52" s="9">
        <v>0</v>
      </c>
      <c r="I52" s="9">
        <v>0</v>
      </c>
      <c r="J52" s="9">
        <v>0</v>
      </c>
      <c r="K52" s="9">
        <f t="shared" si="27"/>
        <v>0</v>
      </c>
      <c r="L52" s="11"/>
      <c r="M52" s="9">
        <v>0</v>
      </c>
      <c r="N52" s="9">
        <v>0</v>
      </c>
      <c r="O52" s="9">
        <v>0</v>
      </c>
      <c r="P52" s="9">
        <f t="shared" si="28"/>
        <v>0</v>
      </c>
      <c r="Q52" s="11"/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f t="shared" si="29"/>
        <v>0</v>
      </c>
      <c r="AA52" s="11"/>
      <c r="AB52" s="9">
        <v>0</v>
      </c>
      <c r="AC52" s="9">
        <v>0</v>
      </c>
      <c r="AD52" s="9">
        <v>0</v>
      </c>
      <c r="AE52" s="9">
        <v>0</v>
      </c>
      <c r="AF52" s="9">
        <f t="shared" si="30"/>
        <v>0</v>
      </c>
      <c r="AG52" s="11"/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f t="shared" si="31"/>
        <v>0</v>
      </c>
      <c r="AQ52" s="11"/>
      <c r="AR52" s="9">
        <f t="shared" si="32"/>
        <v>20000</v>
      </c>
      <c r="AS52" s="8" t="s">
        <v>35</v>
      </c>
    </row>
    <row r="53" spans="2:45" x14ac:dyDescent="0.2">
      <c r="B53" s="8" t="s">
        <v>65</v>
      </c>
      <c r="C53" s="9">
        <f>+'2022'!C56</f>
        <v>20000</v>
      </c>
      <c r="D53" s="11"/>
      <c r="E53" s="9"/>
      <c r="F53" s="11"/>
      <c r="G53" s="9">
        <v>0</v>
      </c>
      <c r="H53" s="9">
        <v>0</v>
      </c>
      <c r="I53" s="9">
        <v>0</v>
      </c>
      <c r="J53" s="9">
        <v>0</v>
      </c>
      <c r="K53" s="9">
        <f t="shared" si="27"/>
        <v>0</v>
      </c>
      <c r="L53" s="11"/>
      <c r="M53" s="9">
        <v>0</v>
      </c>
      <c r="N53" s="9">
        <v>0</v>
      </c>
      <c r="O53" s="9">
        <v>0</v>
      </c>
      <c r="P53" s="9">
        <f t="shared" si="28"/>
        <v>0</v>
      </c>
      <c r="Q53" s="11"/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f t="shared" si="29"/>
        <v>0</v>
      </c>
      <c r="AA53" s="11"/>
      <c r="AB53" s="9">
        <v>0</v>
      </c>
      <c r="AC53" s="9">
        <v>0</v>
      </c>
      <c r="AD53" s="9">
        <v>0</v>
      </c>
      <c r="AE53" s="9">
        <v>0</v>
      </c>
      <c r="AF53" s="9">
        <f t="shared" si="30"/>
        <v>0</v>
      </c>
      <c r="AG53" s="11"/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f t="shared" si="31"/>
        <v>0</v>
      </c>
      <c r="AQ53" s="11"/>
      <c r="AR53" s="9">
        <f t="shared" si="32"/>
        <v>20000</v>
      </c>
      <c r="AS53" s="8" t="s">
        <v>65</v>
      </c>
    </row>
    <row r="54" spans="2:45" x14ac:dyDescent="0.2">
      <c r="B54" s="8" t="s">
        <v>66</v>
      </c>
      <c r="C54" s="9">
        <f>+'2022'!C57</f>
        <v>0</v>
      </c>
      <c r="D54" s="11"/>
      <c r="E54" s="9"/>
      <c r="F54" s="11"/>
      <c r="G54" s="9">
        <v>0</v>
      </c>
      <c r="H54" s="9">
        <v>0</v>
      </c>
      <c r="I54" s="9">
        <v>0</v>
      </c>
      <c r="J54" s="9">
        <v>0</v>
      </c>
      <c r="K54" s="9">
        <f t="shared" si="27"/>
        <v>0</v>
      </c>
      <c r="L54" s="11"/>
      <c r="M54" s="9">
        <v>0</v>
      </c>
      <c r="N54" s="9">
        <v>0</v>
      </c>
      <c r="O54" s="9">
        <v>0</v>
      </c>
      <c r="P54" s="9">
        <f t="shared" si="28"/>
        <v>0</v>
      </c>
      <c r="Q54" s="11"/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f t="shared" si="29"/>
        <v>0</v>
      </c>
      <c r="AA54" s="11"/>
      <c r="AB54" s="9">
        <v>0</v>
      </c>
      <c r="AC54" s="9">
        <v>0</v>
      </c>
      <c r="AD54" s="9">
        <v>0</v>
      </c>
      <c r="AE54" s="9">
        <v>0</v>
      </c>
      <c r="AF54" s="9">
        <f t="shared" si="30"/>
        <v>0</v>
      </c>
      <c r="AG54" s="11"/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f t="shared" si="31"/>
        <v>0</v>
      </c>
      <c r="AQ54" s="11"/>
      <c r="AR54" s="9">
        <f t="shared" si="32"/>
        <v>0</v>
      </c>
      <c r="AS54" s="8" t="s">
        <v>66</v>
      </c>
    </row>
    <row r="55" spans="2:45" x14ac:dyDescent="0.2">
      <c r="B55" s="8" t="s">
        <v>63</v>
      </c>
      <c r="C55" s="9">
        <f>+'2022'!C60</f>
        <v>31500</v>
      </c>
      <c r="D55" s="11"/>
      <c r="E55" s="9"/>
      <c r="F55" s="11"/>
      <c r="G55" s="9">
        <f>+'[42]2017'!$H$40-9000</f>
        <v>-3000</v>
      </c>
      <c r="H55" s="9">
        <f>+'[43]2017'!$H$44</f>
        <v>2000</v>
      </c>
      <c r="I55" s="9">
        <f>+'[44]2017'!$H$44</f>
        <v>2000</v>
      </c>
      <c r="J55" s="9">
        <f>+'2022'!H60</f>
        <v>4000</v>
      </c>
      <c r="K55" s="9">
        <f t="shared" si="27"/>
        <v>5000</v>
      </c>
      <c r="L55" s="11"/>
      <c r="M55" s="9">
        <v>0</v>
      </c>
      <c r="N55" s="9">
        <v>0</v>
      </c>
      <c r="O55" s="9">
        <f>+'[46]2017-IEQA'!$F$29</f>
        <v>18800</v>
      </c>
      <c r="P55" s="9">
        <f t="shared" si="28"/>
        <v>18800</v>
      </c>
      <c r="Q55" s="11"/>
      <c r="R55" s="9">
        <f>+'[47]2017'!$D$40</f>
        <v>1000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f>+'[47]2017'!$J$40</f>
        <v>1500</v>
      </c>
      <c r="Y55" s="9">
        <f>+'[47]2017'!$L$34</f>
        <v>500</v>
      </c>
      <c r="Z55" s="9">
        <f t="shared" si="29"/>
        <v>3000</v>
      </c>
      <c r="AA55" s="11"/>
      <c r="AB55" s="9">
        <f>+'[48]2017'!$D$37-5000</f>
        <v>1350</v>
      </c>
      <c r="AC55" s="9">
        <v>0</v>
      </c>
      <c r="AD55" s="9">
        <v>0</v>
      </c>
      <c r="AE55" s="9">
        <v>0</v>
      </c>
      <c r="AF55" s="9">
        <f t="shared" si="30"/>
        <v>1350</v>
      </c>
      <c r="AG55" s="11"/>
      <c r="AH55" s="9">
        <f>+'[49]2017'!$D$37</f>
        <v>1000</v>
      </c>
      <c r="AI55" s="9">
        <v>0</v>
      </c>
      <c r="AJ55" s="9">
        <v>0</v>
      </c>
      <c r="AK55" s="9">
        <f>+'[49]2017'!$G$37</f>
        <v>2000</v>
      </c>
      <c r="AL55" s="9">
        <v>0</v>
      </c>
      <c r="AM55" s="9">
        <v>2500</v>
      </c>
      <c r="AN55" s="9">
        <v>0</v>
      </c>
      <c r="AO55" s="9">
        <v>0</v>
      </c>
      <c r="AP55" s="9">
        <f t="shared" si="31"/>
        <v>5500</v>
      </c>
      <c r="AQ55" s="11"/>
      <c r="AR55" s="9">
        <f t="shared" si="32"/>
        <v>65150</v>
      </c>
      <c r="AS55" s="8" t="s">
        <v>63</v>
      </c>
    </row>
    <row r="56" spans="2:45" x14ac:dyDescent="0.2">
      <c r="B56" s="8"/>
      <c r="C56" s="10">
        <f>SUM(C29:C55)</f>
        <v>127476</v>
      </c>
      <c r="D56" s="9"/>
      <c r="E56" s="10" t="e">
        <f>SUM(E29:E55)</f>
        <v>#REF!</v>
      </c>
      <c r="F56" s="9"/>
      <c r="G56" s="10">
        <f>SUM(G29:G55)</f>
        <v>226841.7</v>
      </c>
      <c r="H56" s="10">
        <f>SUM(H29:H55)</f>
        <v>327346</v>
      </c>
      <c r="I56" s="10">
        <f>SUM(I29:I55)</f>
        <v>120500</v>
      </c>
      <c r="J56" s="10">
        <f>SUM(J29:J55)</f>
        <v>128337</v>
      </c>
      <c r="K56" s="10">
        <f>SUM(K29:K55)</f>
        <v>803024.7</v>
      </c>
      <c r="L56" s="9"/>
      <c r="M56" s="10">
        <f>SUM(M29:M55)</f>
        <v>102500</v>
      </c>
      <c r="N56" s="10">
        <f>SUM(N29:N55)</f>
        <v>5750</v>
      </c>
      <c r="O56" s="10">
        <f>SUM(O29:O55)</f>
        <v>395380</v>
      </c>
      <c r="P56" s="10">
        <f>SUM(P29:P55)</f>
        <v>503630</v>
      </c>
      <c r="Q56" s="9"/>
      <c r="R56" s="10">
        <f t="shared" ref="R56:Z56" si="33">SUM(R29:R55)</f>
        <v>58000</v>
      </c>
      <c r="S56" s="10">
        <f t="shared" si="33"/>
        <v>8000</v>
      </c>
      <c r="T56" s="10">
        <f t="shared" si="33"/>
        <v>14000</v>
      </c>
      <c r="U56" s="10">
        <f t="shared" si="33"/>
        <v>11000</v>
      </c>
      <c r="V56" s="10">
        <f t="shared" si="33"/>
        <v>30500</v>
      </c>
      <c r="W56" s="10">
        <f t="shared" si="33"/>
        <v>10200</v>
      </c>
      <c r="X56" s="10">
        <f t="shared" si="33"/>
        <v>12600</v>
      </c>
      <c r="Y56" s="10">
        <f t="shared" si="33"/>
        <v>54500</v>
      </c>
      <c r="Z56" s="10">
        <f t="shared" si="33"/>
        <v>198800</v>
      </c>
      <c r="AA56" s="9"/>
      <c r="AB56" s="10">
        <f>SUM(AB29:AB55)</f>
        <v>41350</v>
      </c>
      <c r="AC56" s="10">
        <f>SUM(AC29:AC55)</f>
        <v>45000</v>
      </c>
      <c r="AD56" s="10">
        <f>SUM(AD29:AD55)</f>
        <v>22300</v>
      </c>
      <c r="AE56" s="10">
        <f>SUM(AE29:AE55)</f>
        <v>772862.44</v>
      </c>
      <c r="AF56" s="10">
        <f>SUM(AF29:AF55)</f>
        <v>881512.44</v>
      </c>
      <c r="AG56" s="9"/>
      <c r="AH56" s="10">
        <f t="shared" ref="AH56:AP56" si="34">SUM(AH29:AH55)</f>
        <v>297632</v>
      </c>
      <c r="AI56" s="10">
        <f t="shared" si="34"/>
        <v>28500</v>
      </c>
      <c r="AJ56" s="10">
        <f t="shared" si="34"/>
        <v>9500</v>
      </c>
      <c r="AK56" s="10">
        <f t="shared" si="34"/>
        <v>21500</v>
      </c>
      <c r="AL56" s="10">
        <f t="shared" si="34"/>
        <v>13000</v>
      </c>
      <c r="AM56" s="10">
        <f t="shared" si="34"/>
        <v>4725</v>
      </c>
      <c r="AN56" s="10">
        <f t="shared" si="34"/>
        <v>2000</v>
      </c>
      <c r="AO56" s="10">
        <f t="shared" si="34"/>
        <v>28500</v>
      </c>
      <c r="AP56" s="10">
        <f t="shared" si="34"/>
        <v>405357</v>
      </c>
      <c r="AQ56" s="9"/>
      <c r="AR56" s="10" t="e">
        <f>SUM(AR29:AR55)</f>
        <v>#REF!</v>
      </c>
      <c r="AS56" s="8"/>
    </row>
    <row r="57" spans="2:45" ht="5.25" customHeight="1" x14ac:dyDescent="0.2">
      <c r="B57" s="8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8"/>
    </row>
    <row r="58" spans="2:45" x14ac:dyDescent="0.2">
      <c r="B58" s="8" t="s">
        <v>75</v>
      </c>
      <c r="C58" s="9">
        <f>+'2022'!C63</f>
        <v>0</v>
      </c>
      <c r="D58" s="11"/>
      <c r="E58" s="9"/>
      <c r="F58" s="11"/>
      <c r="G58" s="9">
        <f>+'[42]2017'!$H$45</f>
        <v>8000</v>
      </c>
      <c r="H58" s="9">
        <f>+'[43]2017'!$H$49</f>
        <v>8600</v>
      </c>
      <c r="I58" s="9">
        <f>+'[44]2017'!$H$49</f>
        <v>5500</v>
      </c>
      <c r="J58" s="9">
        <v>0</v>
      </c>
      <c r="K58" s="9">
        <f t="shared" ref="K58:K61" si="35">SUM(G58:J58)</f>
        <v>22100</v>
      </c>
      <c r="L58" s="11"/>
      <c r="M58" s="9">
        <v>0</v>
      </c>
      <c r="N58" s="9">
        <v>0</v>
      </c>
      <c r="O58" s="9">
        <v>0</v>
      </c>
      <c r="P58" s="9">
        <f t="shared" ref="P58:P61" si="36">SUM(M58:O58)</f>
        <v>0</v>
      </c>
      <c r="Q58" s="11"/>
      <c r="R58" s="9">
        <f>+'[47]2017'!$D$43</f>
        <v>1000</v>
      </c>
      <c r="S58" s="9">
        <f>+'[47]2017'!$E$43</f>
        <v>2000</v>
      </c>
      <c r="T58" s="9">
        <v>0</v>
      </c>
      <c r="U58" s="9">
        <f>+'[47]2017'!$G$43</f>
        <v>5000</v>
      </c>
      <c r="V58" s="9">
        <f>+'[47]2017'!$H$43</f>
        <v>5000</v>
      </c>
      <c r="W58" s="9">
        <f>+'[47]2017'!$I$43</f>
        <v>3500</v>
      </c>
      <c r="X58" s="9">
        <f>+'[47]2017'!$J$43</f>
        <v>5000</v>
      </c>
      <c r="Y58" s="9">
        <v>0</v>
      </c>
      <c r="Z58" s="9">
        <f t="shared" ref="Z58:Z61" si="37">SUM(R58:Y58)</f>
        <v>21500</v>
      </c>
      <c r="AA58" s="11"/>
      <c r="AB58" s="9">
        <v>0</v>
      </c>
      <c r="AC58" s="9">
        <v>0</v>
      </c>
      <c r="AD58" s="9">
        <v>0</v>
      </c>
      <c r="AE58" s="9">
        <v>0</v>
      </c>
      <c r="AF58" s="9">
        <f t="shared" ref="AF58:AF61" si="38">SUM(AB58:AE58)</f>
        <v>0</v>
      </c>
      <c r="AG58" s="11"/>
      <c r="AH58" s="9">
        <v>0</v>
      </c>
      <c r="AI58" s="9">
        <v>0</v>
      </c>
      <c r="AJ58" s="9">
        <f>+'[49]2017'!$F$40</f>
        <v>13000</v>
      </c>
      <c r="AK58" s="9">
        <v>0</v>
      </c>
      <c r="AL58" s="9">
        <v>0</v>
      </c>
      <c r="AM58" s="9">
        <v>0</v>
      </c>
      <c r="AN58" s="9">
        <v>0</v>
      </c>
      <c r="AO58" s="9">
        <f>+'[49]2017'!$K$40</f>
        <v>3000</v>
      </c>
      <c r="AP58" s="9">
        <f t="shared" ref="AP58:AP61" si="39">SUM(AH58:AO58)</f>
        <v>16000</v>
      </c>
      <c r="AQ58" s="11"/>
      <c r="AR58" s="9">
        <f t="shared" ref="AR58:AR61" si="40">SUM(C58+K58+P58+Z58+AF58+AP58+E58)</f>
        <v>59600</v>
      </c>
      <c r="AS58" s="8" t="s">
        <v>75</v>
      </c>
    </row>
    <row r="59" spans="2:45" x14ac:dyDescent="0.2">
      <c r="B59" s="8" t="s">
        <v>83</v>
      </c>
      <c r="C59" s="9">
        <f>+'2022'!C64</f>
        <v>0</v>
      </c>
      <c r="D59" s="11"/>
      <c r="E59" s="9"/>
      <c r="F59" s="11"/>
      <c r="G59" s="9">
        <f>+'[42]2017'!$H$44</f>
        <v>0</v>
      </c>
      <c r="H59" s="9">
        <f>+'[43]2017'!$H$48</f>
        <v>0</v>
      </c>
      <c r="I59" s="9"/>
      <c r="J59" s="9"/>
      <c r="K59" s="9"/>
      <c r="L59" s="11"/>
      <c r="M59" s="9"/>
      <c r="N59" s="9"/>
      <c r="O59" s="9"/>
      <c r="P59" s="9"/>
      <c r="Q59" s="11"/>
      <c r="R59" s="9">
        <v>0</v>
      </c>
      <c r="S59" s="9"/>
      <c r="T59" s="9"/>
      <c r="U59" s="9"/>
      <c r="V59" s="9">
        <f>+'[47]2017'!$H$44</f>
        <v>0</v>
      </c>
      <c r="W59" s="9"/>
      <c r="X59" s="9"/>
      <c r="Y59" s="9"/>
      <c r="Z59" s="9">
        <f t="shared" si="37"/>
        <v>0</v>
      </c>
      <c r="AA59" s="11"/>
      <c r="AB59" s="9"/>
      <c r="AC59" s="9"/>
      <c r="AD59" s="9"/>
      <c r="AE59" s="9">
        <f>+'[48]2017'!$G$41</f>
        <v>46000</v>
      </c>
      <c r="AF59" s="9">
        <f t="shared" si="38"/>
        <v>46000</v>
      </c>
      <c r="AG59" s="11"/>
      <c r="AH59" s="9"/>
      <c r="AI59" s="9"/>
      <c r="AJ59" s="9"/>
      <c r="AK59" s="9"/>
      <c r="AL59" s="9"/>
      <c r="AM59" s="9"/>
      <c r="AN59" s="9"/>
      <c r="AO59" s="9"/>
      <c r="AP59" s="9"/>
      <c r="AQ59" s="11"/>
      <c r="AR59" s="9">
        <f t="shared" si="40"/>
        <v>46000</v>
      </c>
      <c r="AS59" s="8"/>
    </row>
    <row r="60" spans="2:45" x14ac:dyDescent="0.2">
      <c r="B60" s="8" t="s">
        <v>17</v>
      </c>
      <c r="C60" s="9">
        <f>+'2022'!C65</f>
        <v>5000</v>
      </c>
      <c r="D60" s="11"/>
      <c r="E60" s="9"/>
      <c r="F60" s="11"/>
      <c r="G60" s="9">
        <f>+'[42]2017'!$H$43</f>
        <v>0</v>
      </c>
      <c r="H60" s="9">
        <f>+'[43]2017'!$H$47</f>
        <v>0</v>
      </c>
      <c r="I60" s="9">
        <v>0</v>
      </c>
      <c r="J60" s="9">
        <v>0</v>
      </c>
      <c r="K60" s="9">
        <f t="shared" si="35"/>
        <v>0</v>
      </c>
      <c r="L60" s="11"/>
      <c r="M60" s="9">
        <v>0</v>
      </c>
      <c r="N60" s="9">
        <v>0</v>
      </c>
      <c r="O60" s="9">
        <f>+'[46]2017-IEQA'!$F$32</f>
        <v>200000</v>
      </c>
      <c r="P60" s="9">
        <f t="shared" si="36"/>
        <v>200000</v>
      </c>
      <c r="Q60" s="11"/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f t="shared" si="37"/>
        <v>0</v>
      </c>
      <c r="AA60" s="11"/>
      <c r="AB60" s="9">
        <v>0</v>
      </c>
      <c r="AC60" s="9">
        <v>0</v>
      </c>
      <c r="AD60" s="9">
        <v>0</v>
      </c>
      <c r="AE60" s="9">
        <v>0</v>
      </c>
      <c r="AF60" s="9">
        <f t="shared" si="38"/>
        <v>0</v>
      </c>
      <c r="AG60" s="11"/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f t="shared" si="39"/>
        <v>0</v>
      </c>
      <c r="AQ60" s="11"/>
      <c r="AR60" s="9">
        <f t="shared" si="40"/>
        <v>205000</v>
      </c>
      <c r="AS60" s="8" t="s">
        <v>17</v>
      </c>
    </row>
    <row r="61" spans="2:45" x14ac:dyDescent="0.2">
      <c r="B61" s="8" t="s">
        <v>18</v>
      </c>
      <c r="C61" s="9">
        <f>+'2022'!C66</f>
        <v>0</v>
      </c>
      <c r="D61" s="11"/>
      <c r="E61" s="9"/>
      <c r="F61" s="11"/>
      <c r="G61" s="9">
        <v>0</v>
      </c>
      <c r="H61" s="9">
        <f>+'[43]2017'!$H$50</f>
        <v>2500</v>
      </c>
      <c r="I61" s="9">
        <v>0</v>
      </c>
      <c r="J61" s="9">
        <v>0</v>
      </c>
      <c r="K61" s="9">
        <f t="shared" si="35"/>
        <v>2500</v>
      </c>
      <c r="L61" s="11"/>
      <c r="M61" s="9">
        <v>0</v>
      </c>
      <c r="N61" s="9">
        <v>0</v>
      </c>
      <c r="O61" s="9">
        <v>0</v>
      </c>
      <c r="P61" s="9">
        <f t="shared" si="36"/>
        <v>0</v>
      </c>
      <c r="Q61" s="11"/>
      <c r="R61" s="9">
        <v>0</v>
      </c>
      <c r="S61" s="9">
        <f>+'[47]2017'!$E$45</f>
        <v>700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f t="shared" si="37"/>
        <v>700</v>
      </c>
      <c r="AA61" s="11"/>
      <c r="AB61" s="9">
        <v>0</v>
      </c>
      <c r="AC61" s="9">
        <v>0</v>
      </c>
      <c r="AD61" s="9">
        <v>0</v>
      </c>
      <c r="AE61" s="9">
        <v>0</v>
      </c>
      <c r="AF61" s="9">
        <f t="shared" si="38"/>
        <v>0</v>
      </c>
      <c r="AG61" s="11"/>
      <c r="AH61" s="9">
        <v>0</v>
      </c>
      <c r="AI61" s="9">
        <v>0</v>
      </c>
      <c r="AJ61" s="9">
        <v>0</v>
      </c>
      <c r="AK61" s="9">
        <f>+'[49]2017'!$G$41</f>
        <v>3000</v>
      </c>
      <c r="AL61" s="9">
        <v>0</v>
      </c>
      <c r="AM61" s="9">
        <v>0</v>
      </c>
      <c r="AN61" s="9">
        <v>0</v>
      </c>
      <c r="AO61" s="9">
        <f>+'[49]2017'!$K$41</f>
        <v>5000</v>
      </c>
      <c r="AP61" s="9">
        <f t="shared" si="39"/>
        <v>8000</v>
      </c>
      <c r="AQ61" s="11"/>
      <c r="AR61" s="9">
        <f t="shared" si="40"/>
        <v>11200</v>
      </c>
      <c r="AS61" s="8" t="s">
        <v>18</v>
      </c>
    </row>
    <row r="62" spans="2:45" x14ac:dyDescent="0.2">
      <c r="C62" s="10">
        <f>SUM(C58:C61)</f>
        <v>5000</v>
      </c>
      <c r="D62" s="11"/>
      <c r="E62" s="10">
        <f>SUM(E58:E61)</f>
        <v>0</v>
      </c>
      <c r="F62" s="11"/>
      <c r="G62" s="10">
        <f>SUM(G58:G61)</f>
        <v>8000</v>
      </c>
      <c r="H62" s="10">
        <f>SUM(H58:H61)</f>
        <v>11100</v>
      </c>
      <c r="I62" s="10">
        <f>SUM(I58:I61)</f>
        <v>5500</v>
      </c>
      <c r="J62" s="10">
        <f>SUM(J58:J61)</f>
        <v>0</v>
      </c>
      <c r="K62" s="10">
        <f>SUM(K58:K61)</f>
        <v>24600</v>
      </c>
      <c r="L62" s="11"/>
      <c r="M62" s="10">
        <f>SUM(M58:M61)</f>
        <v>0</v>
      </c>
      <c r="N62" s="10">
        <f>SUM(N58:N61)</f>
        <v>0</v>
      </c>
      <c r="O62" s="10">
        <f>SUM(O58:O61)</f>
        <v>200000</v>
      </c>
      <c r="P62" s="10">
        <f>SUM(P58:P61)</f>
        <v>200000</v>
      </c>
      <c r="Q62" s="11"/>
      <c r="R62" s="10">
        <f t="shared" ref="R62:Z62" si="41">SUM(R58:R61)</f>
        <v>1000</v>
      </c>
      <c r="S62" s="10">
        <f t="shared" si="41"/>
        <v>2700</v>
      </c>
      <c r="T62" s="10">
        <f t="shared" si="41"/>
        <v>0</v>
      </c>
      <c r="U62" s="10">
        <f t="shared" si="41"/>
        <v>5000</v>
      </c>
      <c r="V62" s="10">
        <f t="shared" si="41"/>
        <v>5000</v>
      </c>
      <c r="W62" s="10">
        <f t="shared" si="41"/>
        <v>3500</v>
      </c>
      <c r="X62" s="10">
        <f t="shared" si="41"/>
        <v>5000</v>
      </c>
      <c r="Y62" s="10">
        <f t="shared" si="41"/>
        <v>0</v>
      </c>
      <c r="Z62" s="10">
        <f t="shared" si="41"/>
        <v>22200</v>
      </c>
      <c r="AA62" s="11"/>
      <c r="AB62" s="10">
        <f>SUM(AB58:AB61)</f>
        <v>0</v>
      </c>
      <c r="AC62" s="10">
        <f>SUM(AC58:AC61)</f>
        <v>0</v>
      </c>
      <c r="AD62" s="10">
        <f>SUM(AD58:AD61)</f>
        <v>0</v>
      </c>
      <c r="AE62" s="10">
        <f>SUM(AE58:AE61)</f>
        <v>46000</v>
      </c>
      <c r="AF62" s="10">
        <f>SUM(AF58:AF61)</f>
        <v>46000</v>
      </c>
      <c r="AG62" s="11"/>
      <c r="AH62" s="10">
        <f t="shared" ref="AH62:AP62" si="42">SUM(AH58:AH61)</f>
        <v>0</v>
      </c>
      <c r="AI62" s="10">
        <f t="shared" si="42"/>
        <v>0</v>
      </c>
      <c r="AJ62" s="10">
        <f t="shared" si="42"/>
        <v>13000</v>
      </c>
      <c r="AK62" s="10">
        <f t="shared" si="42"/>
        <v>3000</v>
      </c>
      <c r="AL62" s="10">
        <f t="shared" si="42"/>
        <v>0</v>
      </c>
      <c r="AM62" s="10">
        <f t="shared" si="42"/>
        <v>0</v>
      </c>
      <c r="AN62" s="10">
        <f t="shared" si="42"/>
        <v>0</v>
      </c>
      <c r="AO62" s="10">
        <f t="shared" si="42"/>
        <v>8000</v>
      </c>
      <c r="AP62" s="10">
        <f t="shared" si="42"/>
        <v>24000</v>
      </c>
      <c r="AQ62" s="11"/>
      <c r="AR62" s="10">
        <f>SUM(AR58:AR61)</f>
        <v>321800</v>
      </c>
    </row>
    <row r="63" spans="2:45" ht="24" customHeight="1" thickBot="1" x14ac:dyDescent="0.25">
      <c r="C63" s="17" t="e">
        <f>SUM(C18+C22+C27+C56+C62)</f>
        <v>#REF!</v>
      </c>
      <c r="D63" s="11"/>
      <c r="E63" s="17" t="e">
        <f>SUM(E18+E22+E27+E56+E62)</f>
        <v>#REF!</v>
      </c>
      <c r="F63" s="11"/>
      <c r="G63" s="17">
        <f>SUM(G18+G22+G27+G56+G62)</f>
        <v>1556120.8238661541</v>
      </c>
      <c r="H63" s="17">
        <f>SUM(H18+H22+H27+H56+H62)</f>
        <v>1455482.0938892309</v>
      </c>
      <c r="I63" s="17">
        <f>SUM(I18+I22+I27+I56+I62)</f>
        <v>835365.12405648001</v>
      </c>
      <c r="J63" s="17">
        <f>SUM(J18+J22+J27+J56+J62)</f>
        <v>755798.55834923068</v>
      </c>
      <c r="K63" s="17">
        <f>SUM(K18+K22+K27+K56+K62)</f>
        <v>4602766.6001610961</v>
      </c>
      <c r="L63" s="9"/>
      <c r="M63" s="17">
        <f>SUM(M18+M22+M27+M56+M62)</f>
        <v>248124.91580679722</v>
      </c>
      <c r="N63" s="17">
        <f>SUM(N18+N22+N27+N56+N62)</f>
        <v>121190.59785667413</v>
      </c>
      <c r="O63" s="17">
        <f>SUM(O18+O22+O27+O56+O62)</f>
        <v>822226.74615133356</v>
      </c>
      <c r="P63" s="17">
        <f>SUM(P18+P22+P27+P56+P62)</f>
        <v>1191542.2598148049</v>
      </c>
      <c r="Q63" s="9"/>
      <c r="R63" s="17">
        <f t="shared" ref="R63:Z63" si="43">SUM(R18+R22+R27+R56+R62)</f>
        <v>982195.95323999994</v>
      </c>
      <c r="S63" s="17">
        <f t="shared" si="43"/>
        <v>244804.38619538461</v>
      </c>
      <c r="T63" s="17">
        <f t="shared" si="43"/>
        <v>296340.29351482383</v>
      </c>
      <c r="U63" s="17">
        <f t="shared" si="43"/>
        <v>298661.15708000003</v>
      </c>
      <c r="V63" s="17">
        <f t="shared" si="43"/>
        <v>629638</v>
      </c>
      <c r="W63" s="17">
        <f t="shared" si="43"/>
        <v>396137.28915703506</v>
      </c>
      <c r="X63" s="17">
        <f t="shared" si="43"/>
        <v>187574.73860168611</v>
      </c>
      <c r="Y63" s="17">
        <f t="shared" si="43"/>
        <v>304460.900196</v>
      </c>
      <c r="Z63" s="17">
        <f t="shared" si="43"/>
        <v>3339812.7179849297</v>
      </c>
      <c r="AA63" s="9"/>
      <c r="AB63" s="17">
        <f>SUM(AB18+AB22+AB27+AB56+AB62)</f>
        <v>203477.63799667367</v>
      </c>
      <c r="AC63" s="17">
        <f>SUM(AC18+AC22+AC27+AC56+AC62)</f>
        <v>225382.24762021418</v>
      </c>
      <c r="AD63" s="17">
        <f>SUM(AD18+AD22+AD27+AD56+AD62)</f>
        <v>376614.5764986421</v>
      </c>
      <c r="AE63" s="17">
        <f>SUM(AE18+AE22+AE27+AE56+AE62)</f>
        <v>1317685.0096434462</v>
      </c>
      <c r="AF63" s="17">
        <f>SUM(AF18+AF22+AF27+AF56+AF62)</f>
        <v>2123159.4717589761</v>
      </c>
      <c r="AG63" s="9"/>
      <c r="AH63" s="17">
        <f t="shared" ref="AH63:AP63" si="44">SUM(AH18+AH22+AH27+AH56+AH62)</f>
        <v>431995.07952000003</v>
      </c>
      <c r="AI63" s="17">
        <f t="shared" si="44"/>
        <v>135599.00133279903</v>
      </c>
      <c r="AJ63" s="17">
        <f t="shared" si="44"/>
        <v>164182.8009</v>
      </c>
      <c r="AK63" s="17">
        <f t="shared" si="44"/>
        <v>151676.14959243994</v>
      </c>
      <c r="AL63" s="17">
        <f t="shared" si="44"/>
        <v>70334.179536923068</v>
      </c>
      <c r="AM63" s="17">
        <f t="shared" si="44"/>
        <v>37374.062600000005</v>
      </c>
      <c r="AN63" s="17">
        <f t="shared" si="44"/>
        <v>44696.046840000003</v>
      </c>
      <c r="AO63" s="17">
        <f t="shared" si="44"/>
        <v>152430.68016615385</v>
      </c>
      <c r="AP63" s="17">
        <f t="shared" si="44"/>
        <v>1188288.0004883159</v>
      </c>
      <c r="AQ63" s="9"/>
      <c r="AR63" s="17" t="e">
        <f>SUM(AR18+AR22+AR27+AR56+AR62)</f>
        <v>#REF!</v>
      </c>
    </row>
    <row r="64" spans="2:45" ht="14.25" thickTop="1" thickBot="1" x14ac:dyDescent="0.25">
      <c r="C64" s="13" t="e">
        <f>+C63-'[50]exp_line office'!$C$63</f>
        <v>#REF!</v>
      </c>
      <c r="D64" s="11"/>
      <c r="E64" s="13" t="e">
        <f>+E63-'[50]exp_line office'!$E$63</f>
        <v>#REF!</v>
      </c>
      <c r="F64" s="11"/>
      <c r="G64" s="11">
        <f>+G63-'[50]exp_line office'!$G$63</f>
        <v>-124883.34849230736</v>
      </c>
      <c r="H64" s="11">
        <f>+H63-'[50]exp_line office'!$H$63</f>
        <v>0</v>
      </c>
      <c r="I64" s="11">
        <f>+I63-'[50]exp_line office'!$I$63</f>
        <v>-1740.0173076923238</v>
      </c>
      <c r="J64" s="11">
        <f>+J63-'2022'!H68</f>
        <v>-25675.425948008895</v>
      </c>
      <c r="K64" s="12">
        <f>SUM(G63:J63)</f>
        <v>4602766.6001610951</v>
      </c>
      <c r="L64" s="11"/>
      <c r="M64" s="11">
        <f>+M63-'[46]2017-IEQA'!$D$35</f>
        <v>0</v>
      </c>
      <c r="N64" s="11"/>
      <c r="O64" s="11"/>
      <c r="P64" s="12">
        <f>SUM(M63:O63)</f>
        <v>1191542.2598148049</v>
      </c>
      <c r="Q64" s="11"/>
      <c r="R64" s="11">
        <f>+R63-'[50]exp_line office'!$R$63</f>
        <v>0</v>
      </c>
      <c r="S64" s="11">
        <f>+S63-'[50]exp_line office'!$S$63</f>
        <v>0</v>
      </c>
      <c r="T64" s="11"/>
      <c r="U64" s="11"/>
      <c r="V64" s="11"/>
      <c r="W64" s="11"/>
      <c r="X64" s="11"/>
      <c r="Y64" s="11"/>
      <c r="Z64" s="17">
        <f>+Z63-'[47]2017'!$M$48</f>
        <v>-8050</v>
      </c>
      <c r="AA64" s="11"/>
      <c r="AB64" s="11"/>
      <c r="AC64" s="11"/>
      <c r="AD64" s="11"/>
      <c r="AE64" s="11"/>
      <c r="AF64" s="17">
        <f>+'[48]2017'!$H$46</f>
        <v>2097996.4717589761</v>
      </c>
      <c r="AG64" s="11"/>
      <c r="AH64" s="11">
        <f>+AH63-'[50]exp_line office'!$AH$63</f>
        <v>9000</v>
      </c>
      <c r="AI64" s="11">
        <f>+AI63-'[50]exp_line office'!$AI$63</f>
        <v>0</v>
      </c>
      <c r="AJ64" s="11">
        <f>+AJ63-'[50]exp_line office'!$AJ$63</f>
        <v>0</v>
      </c>
      <c r="AK64" s="11">
        <f>+AK63-'[50]exp_line office'!$AK$63</f>
        <v>0</v>
      </c>
      <c r="AL64" s="11">
        <f>+AL63-'[50]exp_line office'!$AL$63</f>
        <v>0</v>
      </c>
      <c r="AM64" s="11">
        <f>+AM63-'[50]exp_line office'!$AM$63</f>
        <v>0</v>
      </c>
      <c r="AN64" s="11">
        <f>+AN63-'[49]2017'!$J$44</f>
        <v>0</v>
      </c>
      <c r="AO64" s="11">
        <f>+AO63-'[49]2017'!$K$44</f>
        <v>0</v>
      </c>
      <c r="AP64" s="11">
        <f>+AP63-'[50]exp_line office'!$AP$63</f>
        <v>9000</v>
      </c>
      <c r="AQ64" s="11"/>
      <c r="AR64" s="11" t="e">
        <f>+AR63-'2022'!M68</f>
        <v>#REF!</v>
      </c>
    </row>
    <row r="65" spans="3:44" ht="13.5" thickTop="1" x14ac:dyDescent="0.2">
      <c r="C65" s="11"/>
      <c r="D65" s="11"/>
      <c r="E65" s="11"/>
      <c r="F65" s="11"/>
      <c r="G65" s="11"/>
      <c r="H65" s="11"/>
      <c r="I65" s="11"/>
      <c r="J65" s="11"/>
      <c r="K65" s="11">
        <f>+K63-'[50]exp_line office'!$K$63</f>
        <v>-135873.3657999998</v>
      </c>
      <c r="L65" s="11"/>
      <c r="M65" s="11"/>
      <c r="N65" s="11"/>
      <c r="O65" s="11"/>
      <c r="P65" s="11">
        <f>+P63-'[46]2017-IEQA'!$G$35</f>
        <v>0</v>
      </c>
      <c r="Q65" s="11"/>
      <c r="R65" s="11"/>
      <c r="S65" s="11"/>
      <c r="T65" s="11"/>
      <c r="U65" s="11"/>
      <c r="V65" s="11"/>
      <c r="W65" s="11"/>
      <c r="X65" s="11"/>
      <c r="Y65" s="11"/>
      <c r="Z65" s="11">
        <f>+Z63-'[50]exp_line office'!$Z$63</f>
        <v>0</v>
      </c>
      <c r="AA65" s="11"/>
      <c r="AB65" s="11"/>
      <c r="AC65" s="11"/>
      <c r="AD65" s="11"/>
      <c r="AE65" s="11"/>
      <c r="AF65" s="11">
        <f>+AF64-'[48]2017'!$H$46</f>
        <v>0</v>
      </c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</row>
    <row r="66" spans="3:44" x14ac:dyDescent="0.2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3:44" x14ac:dyDescent="0.2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</row>
    <row r="68" spans="3:44" x14ac:dyDescent="0.2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</row>
    <row r="69" spans="3:44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</row>
    <row r="70" spans="3:44" x14ac:dyDescent="0.2">
      <c r="H70" s="13"/>
    </row>
  </sheetData>
  <mergeCells count="11">
    <mergeCell ref="AR3:AR5"/>
    <mergeCell ref="K4:K5"/>
    <mergeCell ref="P4:P5"/>
    <mergeCell ref="Z4:Z5"/>
    <mergeCell ref="AF4:AF5"/>
    <mergeCell ref="AP4:AP5"/>
    <mergeCell ref="G3:K3"/>
    <mergeCell ref="M3:P3"/>
    <mergeCell ref="R3:Z3"/>
    <mergeCell ref="AB3:AF3"/>
    <mergeCell ref="AH3:AP3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I34" sqref="I34"/>
    </sheetView>
  </sheetViews>
  <sheetFormatPr defaultRowHeight="12.75" x14ac:dyDescent="0.2"/>
  <cols>
    <col min="3" max="3" width="11.28515625" style="136" bestFit="1" customWidth="1"/>
    <col min="4" max="4" width="18" style="136" bestFit="1" customWidth="1"/>
    <col min="5" max="5" width="11.85546875" style="136" bestFit="1" customWidth="1"/>
  </cols>
  <sheetData>
    <row r="1" spans="1:5" x14ac:dyDescent="0.2">
      <c r="A1" t="s">
        <v>154</v>
      </c>
    </row>
    <row r="3" spans="1:5" x14ac:dyDescent="0.2">
      <c r="C3" s="136" t="s">
        <v>153</v>
      </c>
      <c r="D3" s="136" t="s">
        <v>155</v>
      </c>
      <c r="E3" s="136" t="s">
        <v>95</v>
      </c>
    </row>
    <row r="4" spans="1:5" x14ac:dyDescent="0.2">
      <c r="A4" t="s">
        <v>124</v>
      </c>
      <c r="C4" s="136">
        <v>361252</v>
      </c>
      <c r="D4" s="136">
        <v>333162</v>
      </c>
      <c r="E4" s="136">
        <f>+D4-C4</f>
        <v>-28090</v>
      </c>
    </row>
    <row r="5" spans="1:5" x14ac:dyDescent="0.2">
      <c r="A5" t="s">
        <v>48</v>
      </c>
      <c r="C5" s="136">
        <v>132812</v>
      </c>
      <c r="D5" s="136">
        <v>224208</v>
      </c>
      <c r="E5" s="136">
        <f t="shared" ref="E5:E8" si="0">+D5-C5</f>
        <v>91396</v>
      </c>
    </row>
    <row r="6" spans="1:5" x14ac:dyDescent="0.2">
      <c r="A6" t="s">
        <v>49</v>
      </c>
      <c r="C6" s="136">
        <v>147752</v>
      </c>
      <c r="D6" s="136">
        <v>120715</v>
      </c>
      <c r="E6" s="136">
        <f t="shared" si="0"/>
        <v>-27037</v>
      </c>
    </row>
    <row r="7" spans="1:5" x14ac:dyDescent="0.2">
      <c r="A7" t="s">
        <v>50</v>
      </c>
      <c r="C7" s="136">
        <v>108498</v>
      </c>
      <c r="D7" s="136">
        <v>138735</v>
      </c>
      <c r="E7" s="136">
        <f t="shared" si="0"/>
        <v>30237</v>
      </c>
    </row>
    <row r="8" spans="1:5" x14ac:dyDescent="0.2">
      <c r="A8" t="s">
        <v>51</v>
      </c>
      <c r="C8" s="136">
        <v>78142</v>
      </c>
      <c r="D8" s="136">
        <v>58120</v>
      </c>
      <c r="E8" s="136">
        <f t="shared" si="0"/>
        <v>-20022</v>
      </c>
    </row>
    <row r="9" spans="1:5" ht="13.5" thickBot="1" x14ac:dyDescent="0.25">
      <c r="A9" t="s">
        <v>79</v>
      </c>
      <c r="C9" s="137">
        <f>SUM(C4:C8)</f>
        <v>828456</v>
      </c>
      <c r="D9" s="137">
        <f t="shared" ref="D9:E9" si="1">SUM(D4:D8)</f>
        <v>874940</v>
      </c>
      <c r="E9" s="137">
        <f t="shared" si="1"/>
        <v>46484</v>
      </c>
    </row>
    <row r="10" spans="1:5" ht="13.5" thickTop="1" x14ac:dyDescent="0.2"/>
    <row r="13" spans="1:5" x14ac:dyDescent="0.2">
      <c r="C13" s="136" t="s">
        <v>155</v>
      </c>
      <c r="D13" s="136" t="s">
        <v>156</v>
      </c>
      <c r="E13" s="136" t="s">
        <v>95</v>
      </c>
    </row>
    <row r="14" spans="1:5" x14ac:dyDescent="0.2">
      <c r="A14" t="s">
        <v>124</v>
      </c>
      <c r="C14" s="136">
        <v>333162</v>
      </c>
      <c r="D14" s="136">
        <f>105816.82+4309.59+12000+2850.02+2850.01</f>
        <v>127826.44</v>
      </c>
      <c r="E14" s="136">
        <f>+D14-C14</f>
        <v>-205335.56</v>
      </c>
    </row>
    <row r="15" spans="1:5" x14ac:dyDescent="0.2">
      <c r="A15" t="s">
        <v>48</v>
      </c>
      <c r="C15" s="136">
        <v>224208</v>
      </c>
      <c r="D15" s="136">
        <v>47571.43</v>
      </c>
      <c r="E15" s="136">
        <f t="shared" ref="E15:E18" si="2">+D15-C15</f>
        <v>-176636.57</v>
      </c>
    </row>
    <row r="16" spans="1:5" x14ac:dyDescent="0.2">
      <c r="A16" t="s">
        <v>49</v>
      </c>
      <c r="C16" s="136">
        <v>120715</v>
      </c>
      <c r="D16" s="136">
        <v>48646.41</v>
      </c>
      <c r="E16" s="136">
        <f t="shared" si="2"/>
        <v>-72068.59</v>
      </c>
    </row>
    <row r="17" spans="1:5" x14ac:dyDescent="0.2">
      <c r="A17" t="s">
        <v>50</v>
      </c>
      <c r="C17" s="136">
        <v>138735</v>
      </c>
      <c r="D17" s="136">
        <v>32661.03</v>
      </c>
      <c r="E17" s="136">
        <f t="shared" si="2"/>
        <v>-106073.97</v>
      </c>
    </row>
    <row r="18" spans="1:5" x14ac:dyDescent="0.2">
      <c r="A18" t="s">
        <v>51</v>
      </c>
      <c r="C18" s="136">
        <v>58120</v>
      </c>
      <c r="D18" s="136">
        <v>13480.68</v>
      </c>
      <c r="E18" s="136">
        <f t="shared" si="2"/>
        <v>-44639.32</v>
      </c>
    </row>
    <row r="19" spans="1:5" ht="13.5" thickBot="1" x14ac:dyDescent="0.25">
      <c r="A19" t="s">
        <v>79</v>
      </c>
      <c r="C19" s="137">
        <f t="shared" ref="C19:D19" si="3">SUM(C14:C18)</f>
        <v>874940</v>
      </c>
      <c r="D19" s="137">
        <f t="shared" si="3"/>
        <v>270185.99</v>
      </c>
      <c r="E19" s="137">
        <f t="shared" ref="E19" si="4">SUM(E14:E18)</f>
        <v>-604754.00999999989</v>
      </c>
    </row>
    <row r="20" spans="1:5" ht="13.5" thickTop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15" workbookViewId="0">
      <selection activeCell="J43" sqref="J43:L44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24" t="s">
        <v>103</v>
      </c>
      <c r="D11" s="325"/>
      <c r="E11" s="326"/>
      <c r="F11" s="324" t="s">
        <v>104</v>
      </c>
      <c r="G11" s="325"/>
      <c r="H11" s="326"/>
      <c r="I11" s="324" t="s">
        <v>105</v>
      </c>
      <c r="J11" s="325"/>
      <c r="K11" s="326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920319.95880000014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31865.5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92667.8543188904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1044853.3131188905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4940853.3131188899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27" t="s">
        <v>119</v>
      </c>
      <c r="J31" s="328"/>
      <c r="K31" s="328"/>
      <c r="L31" s="328"/>
      <c r="M31" s="329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0</v>
      </c>
      <c r="D33" s="61">
        <f t="shared" ref="D33:E37" si="3">+K33*1.01</f>
        <v>0</v>
      </c>
      <c r="E33" s="61">
        <f t="shared" si="3"/>
        <v>0</v>
      </c>
      <c r="F33" s="61">
        <f>SUM(C33:E33)</f>
        <v>0</v>
      </c>
      <c r="G33" s="71"/>
      <c r="I33" s="70" t="s">
        <v>124</v>
      </c>
      <c r="J33" s="61"/>
      <c r="K33" s="61"/>
      <c r="L33" s="61"/>
      <c r="M33" s="61">
        <f>SUM(J33:L33)</f>
        <v>0</v>
      </c>
    </row>
    <row r="34" spans="1:14" x14ac:dyDescent="0.25">
      <c r="A34" s="69"/>
      <c r="B34" s="70" t="s">
        <v>48</v>
      </c>
      <c r="C34" s="61">
        <f t="shared" ref="C34:C37" si="4">+J34*1.01</f>
        <v>0</v>
      </c>
      <c r="D34" s="61">
        <f t="shared" si="3"/>
        <v>0</v>
      </c>
      <c r="E34" s="61">
        <f t="shared" si="3"/>
        <v>0</v>
      </c>
      <c r="F34" s="61">
        <f t="shared" ref="F34:F37" si="5">SUM(C34:E34)</f>
        <v>0</v>
      </c>
      <c r="G34" s="71"/>
      <c r="I34" s="70" t="s">
        <v>48</v>
      </c>
      <c r="J34" s="61"/>
      <c r="K34" s="61"/>
      <c r="L34" s="61"/>
      <c r="M34" s="61">
        <f t="shared" ref="M34:M37" si="6">SUM(J34:L34)</f>
        <v>0</v>
      </c>
    </row>
    <row r="35" spans="1:14" s="72" customFormat="1" x14ac:dyDescent="0.25">
      <c r="A35" s="69"/>
      <c r="B35" s="70" t="s">
        <v>49</v>
      </c>
      <c r="C35" s="61">
        <f t="shared" si="4"/>
        <v>264.62</v>
      </c>
      <c r="D35" s="61">
        <f t="shared" si="3"/>
        <v>240.38</v>
      </c>
      <c r="E35" s="61">
        <f t="shared" si="3"/>
        <v>132.31</v>
      </c>
      <c r="F35" s="61">
        <f t="shared" si="5"/>
        <v>637.30999999999995</v>
      </c>
      <c r="I35" s="70" t="s">
        <v>49</v>
      </c>
      <c r="J35" s="61">
        <v>262</v>
      </c>
      <c r="K35" s="61">
        <v>238</v>
      </c>
      <c r="L35" s="61">
        <v>131</v>
      </c>
      <c r="M35" s="61">
        <f t="shared" si="6"/>
        <v>631</v>
      </c>
    </row>
    <row r="36" spans="1:14" x14ac:dyDescent="0.25">
      <c r="A36" s="69"/>
      <c r="B36" s="70" t="s">
        <v>50</v>
      </c>
      <c r="C36" s="61">
        <f t="shared" si="4"/>
        <v>0</v>
      </c>
      <c r="D36" s="61">
        <f t="shared" si="3"/>
        <v>0</v>
      </c>
      <c r="E36" s="61">
        <f t="shared" si="3"/>
        <v>0</v>
      </c>
      <c r="F36" s="61">
        <f t="shared" si="5"/>
        <v>0</v>
      </c>
      <c r="G36" s="71"/>
      <c r="I36" s="70" t="s">
        <v>50</v>
      </c>
      <c r="J36" s="61"/>
      <c r="K36" s="61"/>
      <c r="L36" s="61"/>
      <c r="M36" s="61">
        <f t="shared" si="6"/>
        <v>0</v>
      </c>
    </row>
    <row r="37" spans="1:14" x14ac:dyDescent="0.25">
      <c r="A37" s="69"/>
      <c r="B37" s="70" t="s">
        <v>51</v>
      </c>
      <c r="C37" s="61">
        <f t="shared" si="4"/>
        <v>0</v>
      </c>
      <c r="D37" s="61">
        <f t="shared" si="3"/>
        <v>0</v>
      </c>
      <c r="E37" s="61">
        <f t="shared" si="3"/>
        <v>0</v>
      </c>
      <c r="F37" s="61">
        <f t="shared" si="5"/>
        <v>0</v>
      </c>
      <c r="I37" s="70" t="s">
        <v>51</v>
      </c>
      <c r="J37" s="61"/>
      <c r="K37" s="61"/>
      <c r="L37" s="61"/>
      <c r="M37" s="61">
        <f t="shared" si="6"/>
        <v>0</v>
      </c>
    </row>
    <row r="38" spans="1:14" x14ac:dyDescent="0.25">
      <c r="A38" s="69"/>
      <c r="B38" s="73" t="s">
        <v>79</v>
      </c>
      <c r="C38" s="74">
        <f>SUM(C33:C37)</f>
        <v>264.62</v>
      </c>
      <c r="D38" s="74">
        <f>SUM(D33:D37)</f>
        <v>240.38</v>
      </c>
      <c r="E38" s="74">
        <f>SUM(E33:E37)</f>
        <v>132.31</v>
      </c>
      <c r="F38" s="74">
        <f>SUM(F33:F37)</f>
        <v>637.30999999999995</v>
      </c>
      <c r="I38" s="73" t="s">
        <v>79</v>
      </c>
      <c r="J38" s="74">
        <f>SUM(J33:J37)</f>
        <v>262</v>
      </c>
      <c r="K38" s="74">
        <f>SUM(K33:K37)</f>
        <v>238</v>
      </c>
      <c r="L38" s="74">
        <f>SUM(L33:L37)</f>
        <v>131</v>
      </c>
      <c r="M38" s="74">
        <f>SUM(M33:M37)</f>
        <v>631</v>
      </c>
      <c r="N38" s="57">
        <f>+F38-M38</f>
        <v>6.3099999999999454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27" t="s">
        <v>119</v>
      </c>
      <c r="J41" s="328"/>
      <c r="K41" s="328"/>
      <c r="L41" s="328"/>
      <c r="M41" s="329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0</v>
      </c>
      <c r="D43" s="75">
        <f t="shared" ref="D43:E47" si="7">+K43*1.1</f>
        <v>0</v>
      </c>
      <c r="E43" s="75">
        <f t="shared" si="7"/>
        <v>0</v>
      </c>
      <c r="I43" s="70" t="s">
        <v>124</v>
      </c>
      <c r="J43" s="75"/>
      <c r="K43" s="75"/>
      <c r="L43" s="75"/>
    </row>
    <row r="44" spans="1:14" x14ac:dyDescent="0.25">
      <c r="A44" s="69"/>
      <c r="B44" s="70" t="s">
        <v>48</v>
      </c>
      <c r="C44" s="75">
        <f t="shared" ref="C44:C47" si="8">+J44*1.1</f>
        <v>0</v>
      </c>
      <c r="D44" s="75">
        <f t="shared" si="7"/>
        <v>0</v>
      </c>
      <c r="E44" s="75">
        <f t="shared" si="7"/>
        <v>0</v>
      </c>
      <c r="I44" s="70" t="s">
        <v>48</v>
      </c>
      <c r="J44" s="75"/>
      <c r="K44" s="75"/>
      <c r="L44" s="75"/>
    </row>
    <row r="45" spans="1:14" x14ac:dyDescent="0.25">
      <c r="A45" s="69"/>
      <c r="B45" s="70" t="s">
        <v>49</v>
      </c>
      <c r="C45" s="75">
        <f t="shared" si="8"/>
        <v>12.870000000000001</v>
      </c>
      <c r="D45" s="75">
        <f t="shared" si="7"/>
        <v>12.980000000000002</v>
      </c>
      <c r="E45" s="75">
        <f t="shared" si="7"/>
        <v>6.38</v>
      </c>
      <c r="I45" s="70" t="s">
        <v>49</v>
      </c>
      <c r="J45" s="75">
        <v>11.7</v>
      </c>
      <c r="K45" s="75">
        <v>11.8</v>
      </c>
      <c r="L45" s="75">
        <v>5.8</v>
      </c>
    </row>
    <row r="46" spans="1:14" x14ac:dyDescent="0.25">
      <c r="A46" s="69"/>
      <c r="B46" s="70" t="s">
        <v>50</v>
      </c>
      <c r="C46" s="75">
        <f t="shared" si="8"/>
        <v>0</v>
      </c>
      <c r="D46" s="75">
        <f t="shared" si="7"/>
        <v>0</v>
      </c>
      <c r="E46" s="75">
        <f t="shared" si="7"/>
        <v>0</v>
      </c>
      <c r="F46" s="76"/>
      <c r="G46" s="76"/>
      <c r="I46" s="70" t="s">
        <v>50</v>
      </c>
      <c r="J46" s="77"/>
      <c r="K46" s="75"/>
      <c r="L46" s="75"/>
    </row>
    <row r="47" spans="1:14" x14ac:dyDescent="0.25">
      <c r="A47" s="69"/>
      <c r="B47" s="70" t="s">
        <v>51</v>
      </c>
      <c r="C47" s="75">
        <f t="shared" si="8"/>
        <v>0</v>
      </c>
      <c r="D47" s="75">
        <f t="shared" si="7"/>
        <v>0</v>
      </c>
      <c r="E47" s="75">
        <f t="shared" si="7"/>
        <v>0</v>
      </c>
      <c r="I47" s="70" t="s">
        <v>51</v>
      </c>
      <c r="J47" s="77"/>
      <c r="K47" s="75"/>
      <c r="L47" s="75"/>
    </row>
    <row r="48" spans="1:14" x14ac:dyDescent="0.25">
      <c r="A48" s="69"/>
      <c r="B48" s="73" t="s">
        <v>126</v>
      </c>
      <c r="C48" s="78">
        <f>SUM(C43:C47)/5</f>
        <v>2.5740000000000003</v>
      </c>
      <c r="D48" s="78">
        <f>SUM(D43:D47)/5</f>
        <v>2.5960000000000005</v>
      </c>
      <c r="E48" s="78">
        <f>SUM(E43:E47)/5</f>
        <v>1.276</v>
      </c>
      <c r="I48" s="73" t="s">
        <v>126</v>
      </c>
      <c r="J48" s="78">
        <f>SUM(J43:J47)/5</f>
        <v>2.34</v>
      </c>
      <c r="K48" s="78">
        <f>SUM(K43:K47)/5</f>
        <v>2.3600000000000003</v>
      </c>
      <c r="L48" s="78">
        <f>SUM(L43:L47)/5</f>
        <v>1.1599999999999999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0</v>
      </c>
      <c r="D52" s="61">
        <f t="shared" ref="D52:E52" si="9">+D33*D43</f>
        <v>0</v>
      </c>
      <c r="E52" s="61">
        <f t="shared" si="9"/>
        <v>0</v>
      </c>
      <c r="F52" s="61">
        <f>SUM(C52:E52)</f>
        <v>0</v>
      </c>
    </row>
    <row r="53" spans="1:6" x14ac:dyDescent="0.25">
      <c r="B53" s="70" t="s">
        <v>48</v>
      </c>
      <c r="C53" s="61">
        <f t="shared" ref="C53:E56" si="10">+C34*C44</f>
        <v>0</v>
      </c>
      <c r="D53" s="61">
        <f t="shared" si="10"/>
        <v>0</v>
      </c>
      <c r="E53" s="61">
        <f t="shared" si="10"/>
        <v>0</v>
      </c>
      <c r="F53" s="61">
        <f t="shared" ref="F53:F56" si="11">SUM(C53:E53)</f>
        <v>0</v>
      </c>
    </row>
    <row r="54" spans="1:6" x14ac:dyDescent="0.25">
      <c r="B54" s="70" t="s">
        <v>49</v>
      </c>
      <c r="C54" s="61">
        <f t="shared" si="10"/>
        <v>3405.6594000000005</v>
      </c>
      <c r="D54" s="61">
        <f t="shared" si="10"/>
        <v>3120.1324000000004</v>
      </c>
      <c r="E54" s="61">
        <f t="shared" si="10"/>
        <v>844.13779999999997</v>
      </c>
      <c r="F54" s="61">
        <f t="shared" si="11"/>
        <v>7369.9296000000013</v>
      </c>
    </row>
    <row r="55" spans="1:6" x14ac:dyDescent="0.25">
      <c r="B55" s="70" t="s">
        <v>50</v>
      </c>
      <c r="C55" s="61">
        <f t="shared" si="10"/>
        <v>0</v>
      </c>
      <c r="D55" s="61">
        <f t="shared" si="10"/>
        <v>0</v>
      </c>
      <c r="E55" s="61">
        <f t="shared" si="10"/>
        <v>0</v>
      </c>
      <c r="F55" s="61">
        <f t="shared" si="11"/>
        <v>0</v>
      </c>
    </row>
    <row r="56" spans="1:6" x14ac:dyDescent="0.25">
      <c r="B56" s="70" t="s">
        <v>51</v>
      </c>
      <c r="C56" s="61">
        <f t="shared" si="10"/>
        <v>0</v>
      </c>
      <c r="D56" s="61">
        <f t="shared" si="10"/>
        <v>0</v>
      </c>
      <c r="E56" s="61">
        <f t="shared" si="10"/>
        <v>0</v>
      </c>
      <c r="F56" s="61">
        <f t="shared" si="11"/>
        <v>0</v>
      </c>
    </row>
    <row r="57" spans="1:6" x14ac:dyDescent="0.25">
      <c r="B57" s="73" t="s">
        <v>79</v>
      </c>
      <c r="C57" s="74">
        <f>SUM(C52:C56)</f>
        <v>3405.6594000000005</v>
      </c>
      <c r="D57" s="74">
        <f t="shared" ref="D57:F57" si="12">SUM(D52:D56)</f>
        <v>3120.1324000000004</v>
      </c>
      <c r="E57" s="74">
        <f t="shared" si="12"/>
        <v>844.13779999999997</v>
      </c>
      <c r="F57" s="74">
        <f t="shared" si="12"/>
        <v>7369.9296000000013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0</v>
      </c>
      <c r="D61" s="61">
        <f t="shared" ref="D61:E61" si="13">+D52*135</f>
        <v>0</v>
      </c>
      <c r="E61" s="61">
        <f t="shared" si="13"/>
        <v>0</v>
      </c>
      <c r="F61" s="61">
        <f>SUM(C61:E61)</f>
        <v>0</v>
      </c>
    </row>
    <row r="62" spans="1:6" x14ac:dyDescent="0.25">
      <c r="B62" s="70" t="s">
        <v>48</v>
      </c>
      <c r="C62" s="61">
        <f t="shared" ref="C62:E65" si="14">+C53*135</f>
        <v>0</v>
      </c>
      <c r="D62" s="61">
        <f t="shared" si="14"/>
        <v>0</v>
      </c>
      <c r="E62" s="61">
        <f t="shared" si="14"/>
        <v>0</v>
      </c>
      <c r="F62" s="61">
        <f t="shared" ref="F62:F65" si="15">SUM(C62:E62)</f>
        <v>0</v>
      </c>
    </row>
    <row r="63" spans="1:6" x14ac:dyDescent="0.25">
      <c r="B63" s="70" t="s">
        <v>49</v>
      </c>
      <c r="C63" s="61">
        <f t="shared" si="14"/>
        <v>459764.01900000009</v>
      </c>
      <c r="D63" s="61">
        <f t="shared" si="14"/>
        <v>421217.87400000007</v>
      </c>
      <c r="E63" s="61">
        <f t="shared" si="14"/>
        <v>113958.603</v>
      </c>
      <c r="F63" s="61">
        <f t="shared" si="15"/>
        <v>994940.49600000016</v>
      </c>
    </row>
    <row r="64" spans="1:6" x14ac:dyDescent="0.25">
      <c r="B64" s="70" t="s">
        <v>50</v>
      </c>
      <c r="C64" s="61">
        <f t="shared" si="14"/>
        <v>0</v>
      </c>
      <c r="D64" s="61">
        <f t="shared" si="14"/>
        <v>0</v>
      </c>
      <c r="E64" s="61">
        <f t="shared" si="14"/>
        <v>0</v>
      </c>
      <c r="F64" s="61">
        <f t="shared" si="15"/>
        <v>0</v>
      </c>
    </row>
    <row r="65" spans="1:7" x14ac:dyDescent="0.25">
      <c r="B65" s="70" t="s">
        <v>51</v>
      </c>
      <c r="C65" s="61">
        <f t="shared" si="14"/>
        <v>0</v>
      </c>
      <c r="D65" s="61">
        <f t="shared" si="14"/>
        <v>0</v>
      </c>
      <c r="E65" s="61">
        <f t="shared" si="14"/>
        <v>0</v>
      </c>
      <c r="F65" s="61">
        <f t="shared" si="15"/>
        <v>0</v>
      </c>
    </row>
    <row r="66" spans="1:7" x14ac:dyDescent="0.25">
      <c r="B66" s="73" t="s">
        <v>79</v>
      </c>
      <c r="C66" s="74">
        <f>SUM(C61:C65)</f>
        <v>459764.01900000009</v>
      </c>
      <c r="D66" s="74">
        <f t="shared" ref="D66:F66" si="16">SUM(D61:D65)</f>
        <v>421217.87400000007</v>
      </c>
      <c r="E66" s="74">
        <f t="shared" si="16"/>
        <v>113958.603</v>
      </c>
      <c r="F66" s="74">
        <f t="shared" si="16"/>
        <v>994940.49600000016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0</v>
      </c>
      <c r="D69" s="61">
        <f t="shared" ref="D69:E69" si="17">+D61*0.925</f>
        <v>0</v>
      </c>
      <c r="E69" s="61">
        <f t="shared" si="17"/>
        <v>0</v>
      </c>
      <c r="F69" s="61">
        <f>SUM(C69:E69)</f>
        <v>0</v>
      </c>
    </row>
    <row r="70" spans="1:7" x14ac:dyDescent="0.25">
      <c r="B70" s="70" t="s">
        <v>48</v>
      </c>
      <c r="C70" s="61">
        <f t="shared" ref="C70:E73" si="18">+C62*0.925</f>
        <v>0</v>
      </c>
      <c r="D70" s="61">
        <f t="shared" si="18"/>
        <v>0</v>
      </c>
      <c r="E70" s="61">
        <f t="shared" si="18"/>
        <v>0</v>
      </c>
      <c r="F70" s="61">
        <f t="shared" ref="F70:F73" si="19">SUM(C70:E70)</f>
        <v>0</v>
      </c>
    </row>
    <row r="71" spans="1:7" x14ac:dyDescent="0.25">
      <c r="B71" s="70" t="s">
        <v>49</v>
      </c>
      <c r="C71" s="61">
        <f t="shared" si="18"/>
        <v>425281.71757500008</v>
      </c>
      <c r="D71" s="61">
        <f t="shared" si="18"/>
        <v>389626.5334500001</v>
      </c>
      <c r="E71" s="61">
        <f t="shared" si="18"/>
        <v>105411.707775</v>
      </c>
      <c r="F71" s="61">
        <f t="shared" si="19"/>
        <v>920319.95880000014</v>
      </c>
    </row>
    <row r="72" spans="1:7" x14ac:dyDescent="0.25">
      <c r="B72" s="70" t="s">
        <v>50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9"/>
        <v>0</v>
      </c>
    </row>
    <row r="73" spans="1:7" x14ac:dyDescent="0.25">
      <c r="B73" s="70" t="s">
        <v>51</v>
      </c>
      <c r="C73" s="61">
        <f t="shared" si="18"/>
        <v>0</v>
      </c>
      <c r="D73" s="61">
        <f t="shared" si="18"/>
        <v>0</v>
      </c>
      <c r="E73" s="61">
        <f t="shared" si="18"/>
        <v>0</v>
      </c>
      <c r="F73" s="61">
        <f t="shared" si="19"/>
        <v>0</v>
      </c>
    </row>
    <row r="74" spans="1:7" ht="15.75" thickBot="1" x14ac:dyDescent="0.3">
      <c r="B74" s="73" t="s">
        <v>79</v>
      </c>
      <c r="C74" s="49">
        <f>SUM(C69:C73)</f>
        <v>425281.71757500008</v>
      </c>
      <c r="D74" s="49">
        <f t="shared" ref="D74:F74" si="20">SUM(D69:D73)</f>
        <v>389626.5334500001</v>
      </c>
      <c r="E74" s="49">
        <f t="shared" si="20"/>
        <v>105411.707775</v>
      </c>
      <c r="F74" s="49">
        <f t="shared" si="20"/>
        <v>920319.95880000014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0</v>
      </c>
      <c r="D78" s="61">
        <f t="shared" ref="D78:E82" si="21">+D33*50</f>
        <v>0</v>
      </c>
      <c r="E78" s="61">
        <f t="shared" si="21"/>
        <v>0</v>
      </c>
      <c r="F78" s="61">
        <f>SUM(C78:E78)</f>
        <v>0</v>
      </c>
    </row>
    <row r="79" spans="1:7" x14ac:dyDescent="0.25">
      <c r="B79" s="70" t="s">
        <v>48</v>
      </c>
      <c r="C79" s="61">
        <f>+C34*50</f>
        <v>0</v>
      </c>
      <c r="D79" s="61">
        <f t="shared" si="21"/>
        <v>0</v>
      </c>
      <c r="E79" s="61">
        <f t="shared" si="21"/>
        <v>0</v>
      </c>
      <c r="F79" s="61">
        <f t="shared" ref="F79:F82" si="22">SUM(C79:E79)</f>
        <v>0</v>
      </c>
    </row>
    <row r="80" spans="1:7" x14ac:dyDescent="0.25">
      <c r="B80" s="70" t="s">
        <v>49</v>
      </c>
      <c r="C80" s="61">
        <f>+C35*50</f>
        <v>13231</v>
      </c>
      <c r="D80" s="61">
        <f t="shared" si="21"/>
        <v>12019</v>
      </c>
      <c r="E80" s="61">
        <f t="shared" si="21"/>
        <v>6615.5</v>
      </c>
      <c r="F80" s="61">
        <f t="shared" si="22"/>
        <v>31865.5</v>
      </c>
    </row>
    <row r="81" spans="1:7" x14ac:dyDescent="0.25">
      <c r="B81" s="70" t="s">
        <v>50</v>
      </c>
      <c r="C81" s="61">
        <f>+C36*50</f>
        <v>0</v>
      </c>
      <c r="D81" s="61">
        <f t="shared" si="21"/>
        <v>0</v>
      </c>
      <c r="E81" s="61">
        <f t="shared" si="21"/>
        <v>0</v>
      </c>
      <c r="F81" s="61">
        <f t="shared" si="22"/>
        <v>0</v>
      </c>
    </row>
    <row r="82" spans="1:7" x14ac:dyDescent="0.25">
      <c r="B82" s="70" t="s">
        <v>51</v>
      </c>
      <c r="C82" s="61">
        <f>+C37*50</f>
        <v>0</v>
      </c>
      <c r="D82" s="61">
        <f t="shared" si="21"/>
        <v>0</v>
      </c>
      <c r="E82" s="61">
        <f t="shared" si="21"/>
        <v>0</v>
      </c>
      <c r="F82" s="61">
        <f t="shared" si="22"/>
        <v>0</v>
      </c>
    </row>
    <row r="83" spans="1:7" ht="15.75" thickBot="1" x14ac:dyDescent="0.3">
      <c r="B83" s="73" t="s">
        <v>79</v>
      </c>
      <c r="C83" s="49">
        <f>SUM(C78:C82)</f>
        <v>13231</v>
      </c>
      <c r="D83" s="49">
        <f t="shared" ref="D83:F83" si="23">SUM(D78:D82)</f>
        <v>12019</v>
      </c>
      <c r="E83" s="49">
        <f t="shared" si="23"/>
        <v>6615.5</v>
      </c>
      <c r="F83" s="49">
        <f t="shared" si="23"/>
        <v>31865.5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217.4309385665529</v>
      </c>
      <c r="D93" s="61">
        <f>+D38*J13</f>
        <v>188.95998094330633</v>
      </c>
      <c r="E93" s="61">
        <f>+E38*K13</f>
        <v>89.740695652173912</v>
      </c>
      <c r="F93" s="61">
        <f>SUM(C93:E93)</f>
        <v>496.1316151620332</v>
      </c>
    </row>
    <row r="94" spans="1:7" x14ac:dyDescent="0.25">
      <c r="B94" s="70" t="s">
        <v>110</v>
      </c>
      <c r="C94" s="61">
        <f>+C38-C93</f>
        <v>47.189061433447108</v>
      </c>
      <c r="D94" s="61">
        <f t="shared" ref="D94:E94" si="24">+D38-D93</f>
        <v>51.420019056693661</v>
      </c>
      <c r="E94" s="61">
        <f t="shared" si="24"/>
        <v>42.56930434782609</v>
      </c>
      <c r="F94" s="61">
        <f t="shared" ref="F94" si="25">SUM(C94:E94)</f>
        <v>141.17838483796686</v>
      </c>
    </row>
    <row r="95" spans="1:7" x14ac:dyDescent="0.25">
      <c r="B95" s="73" t="s">
        <v>79</v>
      </c>
      <c r="C95" s="74">
        <f>SUM(C93:C94)</f>
        <v>264.62</v>
      </c>
      <c r="D95" s="74">
        <f>SUM(D93:D94)</f>
        <v>240.38</v>
      </c>
      <c r="E95" s="74">
        <f>SUM(E93:E94)</f>
        <v>132.31</v>
      </c>
      <c r="F95" s="74">
        <f>SUM(F93:F94)</f>
        <v>637.31000000000006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43486.187713310581</v>
      </c>
      <c r="D98" s="61">
        <f t="shared" ref="D98" si="26">+D93*200</f>
        <v>37791.996188661265</v>
      </c>
      <c r="E98" s="61">
        <f>+E93*50</f>
        <v>4487.0347826086954</v>
      </c>
      <c r="F98" s="61">
        <f>SUM(C98:E98)</f>
        <v>85765.218684580541</v>
      </c>
    </row>
    <row r="99" spans="2:6" x14ac:dyDescent="0.25">
      <c r="B99" s="70" t="s">
        <v>110</v>
      </c>
      <c r="C99" s="61">
        <f>+C94*70</f>
        <v>3303.2343003412975</v>
      </c>
      <c r="D99" s="61">
        <f t="shared" ref="D99" si="27">+D94*70</f>
        <v>3599.4013339685562</v>
      </c>
      <c r="E99" s="88">
        <f>+'[1]Facility Fee'!$X$37*E38</f>
        <v>0</v>
      </c>
      <c r="F99" s="61">
        <f t="shared" ref="F99" si="28">SUM(C99:E99)</f>
        <v>6902.6356343098541</v>
      </c>
    </row>
    <row r="100" spans="2:6" x14ac:dyDescent="0.25">
      <c r="B100" s="73" t="s">
        <v>79</v>
      </c>
      <c r="C100" s="74">
        <f>SUM(C98:C99)</f>
        <v>46789.422013651878</v>
      </c>
      <c r="D100" s="74">
        <f>SUM(D98:D99)</f>
        <v>41391.397522629821</v>
      </c>
      <c r="E100" s="74">
        <f>SUM(E98:E99)</f>
        <v>4487.0347826086954</v>
      </c>
      <c r="F100" s="74">
        <f>SUM(F98:F99)</f>
        <v>92667.8543188904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13" workbookViewId="0">
      <selection activeCell="J43" sqref="J43:L46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24" t="s">
        <v>103</v>
      </c>
      <c r="D11" s="325"/>
      <c r="E11" s="326"/>
      <c r="F11" s="324" t="s">
        <v>104</v>
      </c>
      <c r="G11" s="325"/>
      <c r="H11" s="326"/>
      <c r="I11" s="324" t="s">
        <v>105</v>
      </c>
      <c r="J11" s="325"/>
      <c r="K11" s="326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595122.48180000018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23028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69568.633809943902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687719.1156099441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4583719.1156099439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27" t="s">
        <v>119</v>
      </c>
      <c r="J31" s="328"/>
      <c r="K31" s="328"/>
      <c r="L31" s="328"/>
      <c r="M31" s="329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0</v>
      </c>
      <c r="D33" s="61">
        <f t="shared" ref="D33:E37" si="3">+K33*1.01</f>
        <v>0</v>
      </c>
      <c r="E33" s="61">
        <f t="shared" si="3"/>
        <v>0</v>
      </c>
      <c r="F33" s="61">
        <f>SUM(C33:E33)</f>
        <v>0</v>
      </c>
      <c r="G33" s="71"/>
      <c r="I33" s="70" t="s">
        <v>124</v>
      </c>
      <c r="J33" s="61"/>
      <c r="K33" s="61"/>
      <c r="L33" s="61"/>
      <c r="M33" s="61">
        <f>SUM(J33:L33)</f>
        <v>0</v>
      </c>
    </row>
    <row r="34" spans="1:14" x14ac:dyDescent="0.25">
      <c r="A34" s="69"/>
      <c r="B34" s="70" t="s">
        <v>48</v>
      </c>
      <c r="C34" s="61">
        <f t="shared" ref="C34:C37" si="4">+J34*1.01</f>
        <v>0</v>
      </c>
      <c r="D34" s="61">
        <f t="shared" si="3"/>
        <v>0</v>
      </c>
      <c r="E34" s="61">
        <f t="shared" si="3"/>
        <v>0</v>
      </c>
      <c r="F34" s="61">
        <f t="shared" ref="F34:F37" si="5">SUM(C34:E34)</f>
        <v>0</v>
      </c>
      <c r="G34" s="71"/>
      <c r="I34" s="70" t="s">
        <v>48</v>
      </c>
      <c r="J34" s="61"/>
      <c r="K34" s="61"/>
      <c r="L34" s="61"/>
      <c r="M34" s="61">
        <f t="shared" ref="M34:M37" si="6">SUM(J34:L34)</f>
        <v>0</v>
      </c>
    </row>
    <row r="35" spans="1:14" s="72" customFormat="1" x14ac:dyDescent="0.25">
      <c r="A35" s="69"/>
      <c r="B35" s="70" t="s">
        <v>49</v>
      </c>
      <c r="C35" s="61">
        <f t="shared" si="4"/>
        <v>0</v>
      </c>
      <c r="D35" s="61">
        <f t="shared" si="3"/>
        <v>0</v>
      </c>
      <c r="E35" s="61">
        <f t="shared" si="3"/>
        <v>0</v>
      </c>
      <c r="F35" s="61">
        <f t="shared" si="5"/>
        <v>0</v>
      </c>
      <c r="I35" s="70" t="s">
        <v>49</v>
      </c>
      <c r="J35" s="61"/>
      <c r="K35" s="61"/>
      <c r="L35" s="61"/>
      <c r="M35" s="61">
        <f t="shared" si="6"/>
        <v>0</v>
      </c>
    </row>
    <row r="36" spans="1:14" x14ac:dyDescent="0.25">
      <c r="A36" s="69"/>
      <c r="B36" s="70" t="s">
        <v>50</v>
      </c>
      <c r="C36" s="61">
        <f t="shared" si="4"/>
        <v>0</v>
      </c>
      <c r="D36" s="61">
        <f t="shared" si="3"/>
        <v>0</v>
      </c>
      <c r="E36" s="61">
        <f t="shared" si="3"/>
        <v>0</v>
      </c>
      <c r="F36" s="61">
        <f t="shared" si="5"/>
        <v>0</v>
      </c>
      <c r="G36" s="71"/>
      <c r="I36" s="70" t="s">
        <v>50</v>
      </c>
      <c r="J36" s="61"/>
      <c r="K36" s="61"/>
      <c r="L36" s="61"/>
      <c r="M36" s="61">
        <f t="shared" si="6"/>
        <v>0</v>
      </c>
    </row>
    <row r="37" spans="1:14" x14ac:dyDescent="0.25">
      <c r="A37" s="69"/>
      <c r="B37" s="70" t="s">
        <v>51</v>
      </c>
      <c r="C37" s="61">
        <f t="shared" si="4"/>
        <v>189.88</v>
      </c>
      <c r="D37" s="61">
        <f t="shared" si="3"/>
        <v>193.92000000000002</v>
      </c>
      <c r="E37" s="61">
        <f t="shared" si="3"/>
        <v>76.760000000000005</v>
      </c>
      <c r="F37" s="61">
        <f t="shared" si="5"/>
        <v>460.56</v>
      </c>
      <c r="I37" s="70" t="s">
        <v>51</v>
      </c>
      <c r="J37" s="61">
        <v>188</v>
      </c>
      <c r="K37" s="61">
        <v>192</v>
      </c>
      <c r="L37" s="61">
        <v>76</v>
      </c>
      <c r="M37" s="61">
        <f t="shared" si="6"/>
        <v>456</v>
      </c>
    </row>
    <row r="38" spans="1:14" x14ac:dyDescent="0.25">
      <c r="A38" s="69"/>
      <c r="B38" s="73" t="s">
        <v>79</v>
      </c>
      <c r="C38" s="74">
        <f>SUM(C33:C37)</f>
        <v>189.88</v>
      </c>
      <c r="D38" s="74">
        <f>SUM(D33:D37)</f>
        <v>193.92000000000002</v>
      </c>
      <c r="E38" s="74">
        <f>SUM(E33:E37)</f>
        <v>76.760000000000005</v>
      </c>
      <c r="F38" s="74">
        <f>SUM(F33:F37)</f>
        <v>460.56</v>
      </c>
      <c r="I38" s="73" t="s">
        <v>79</v>
      </c>
      <c r="J38" s="74">
        <f>SUM(J33:J37)</f>
        <v>188</v>
      </c>
      <c r="K38" s="74">
        <f>SUM(K33:K37)</f>
        <v>192</v>
      </c>
      <c r="L38" s="74">
        <f>SUM(L33:L37)</f>
        <v>76</v>
      </c>
      <c r="M38" s="74">
        <f>SUM(M33:M37)</f>
        <v>456</v>
      </c>
      <c r="N38" s="57">
        <f>+F38-M38</f>
        <v>4.5600000000000023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27" t="s">
        <v>119</v>
      </c>
      <c r="J41" s="328"/>
      <c r="K41" s="328"/>
      <c r="L41" s="328"/>
      <c r="M41" s="329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0</v>
      </c>
      <c r="D43" s="75">
        <f t="shared" ref="D43:E47" si="7">+K43*1.1</f>
        <v>0</v>
      </c>
      <c r="E43" s="75">
        <f t="shared" si="7"/>
        <v>0</v>
      </c>
      <c r="I43" s="70" t="s">
        <v>124</v>
      </c>
      <c r="J43" s="75"/>
      <c r="K43" s="75"/>
      <c r="L43" s="75"/>
    </row>
    <row r="44" spans="1:14" x14ac:dyDescent="0.25">
      <c r="A44" s="69"/>
      <c r="B44" s="70" t="s">
        <v>48</v>
      </c>
      <c r="C44" s="75">
        <f t="shared" ref="C44:C47" si="8">+J44*1.1</f>
        <v>0</v>
      </c>
      <c r="D44" s="75">
        <f t="shared" si="7"/>
        <v>0</v>
      </c>
      <c r="E44" s="75">
        <f t="shared" si="7"/>
        <v>0</v>
      </c>
      <c r="I44" s="70" t="s">
        <v>48</v>
      </c>
      <c r="J44" s="75"/>
      <c r="K44" s="75"/>
      <c r="L44" s="75"/>
    </row>
    <row r="45" spans="1:14" x14ac:dyDescent="0.25">
      <c r="A45" s="69"/>
      <c r="B45" s="70" t="s">
        <v>49</v>
      </c>
      <c r="C45" s="75">
        <f t="shared" si="8"/>
        <v>0</v>
      </c>
      <c r="D45" s="75">
        <f t="shared" si="7"/>
        <v>0</v>
      </c>
      <c r="E45" s="75">
        <f t="shared" si="7"/>
        <v>0</v>
      </c>
      <c r="I45" s="70" t="s">
        <v>49</v>
      </c>
      <c r="J45" s="75"/>
      <c r="K45" s="75"/>
      <c r="L45" s="75"/>
    </row>
    <row r="46" spans="1:14" x14ac:dyDescent="0.25">
      <c r="A46" s="69"/>
      <c r="B46" s="70" t="s">
        <v>50</v>
      </c>
      <c r="C46" s="75">
        <f t="shared" si="8"/>
        <v>0</v>
      </c>
      <c r="D46" s="75">
        <f t="shared" si="7"/>
        <v>0</v>
      </c>
      <c r="E46" s="75">
        <f t="shared" si="7"/>
        <v>0</v>
      </c>
      <c r="F46" s="76"/>
      <c r="G46" s="76"/>
      <c r="I46" s="70" t="s">
        <v>50</v>
      </c>
      <c r="J46" s="77"/>
      <c r="K46" s="75"/>
      <c r="L46" s="75"/>
    </row>
    <row r="47" spans="1:14" x14ac:dyDescent="0.25">
      <c r="A47" s="69"/>
      <c r="B47" s="70" t="s">
        <v>51</v>
      </c>
      <c r="C47" s="75">
        <f t="shared" si="8"/>
        <v>11.55</v>
      </c>
      <c r="D47" s="75">
        <f t="shared" si="7"/>
        <v>11.22</v>
      </c>
      <c r="E47" s="75">
        <f t="shared" si="7"/>
        <v>5.1700000000000008</v>
      </c>
      <c r="I47" s="70" t="s">
        <v>51</v>
      </c>
      <c r="J47" s="77">
        <v>10.5</v>
      </c>
      <c r="K47" s="75">
        <v>10.199999999999999</v>
      </c>
      <c r="L47" s="75">
        <v>4.7</v>
      </c>
    </row>
    <row r="48" spans="1:14" x14ac:dyDescent="0.25">
      <c r="A48" s="69"/>
      <c r="B48" s="73" t="s">
        <v>126</v>
      </c>
      <c r="C48" s="78">
        <f>SUM(C43:C47)/5</f>
        <v>2.31</v>
      </c>
      <c r="D48" s="78">
        <f>SUM(D43:D47)/5</f>
        <v>2.2440000000000002</v>
      </c>
      <c r="E48" s="78">
        <f>SUM(E43:E47)/5</f>
        <v>1.0340000000000003</v>
      </c>
      <c r="I48" s="73" t="s">
        <v>126</v>
      </c>
      <c r="J48" s="78">
        <f>SUM(J43:J47)/5</f>
        <v>2.1</v>
      </c>
      <c r="K48" s="78">
        <f>SUM(K43:K47)/5</f>
        <v>2.04</v>
      </c>
      <c r="L48" s="78">
        <f>SUM(L43:L47)/5</f>
        <v>0.94000000000000006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0</v>
      </c>
      <c r="D52" s="61">
        <f t="shared" ref="D52:E52" si="9">+D33*D43</f>
        <v>0</v>
      </c>
      <c r="E52" s="61">
        <f t="shared" si="9"/>
        <v>0</v>
      </c>
      <c r="F52" s="61">
        <f>SUM(C52:E52)</f>
        <v>0</v>
      </c>
    </row>
    <row r="53" spans="1:6" x14ac:dyDescent="0.25">
      <c r="B53" s="70" t="s">
        <v>48</v>
      </c>
      <c r="C53" s="61">
        <f t="shared" ref="C53:E56" si="10">+C34*C44</f>
        <v>0</v>
      </c>
      <c r="D53" s="61">
        <f t="shared" si="10"/>
        <v>0</v>
      </c>
      <c r="E53" s="61">
        <f t="shared" si="10"/>
        <v>0</v>
      </c>
      <c r="F53" s="61">
        <f t="shared" ref="F53:F56" si="11">SUM(C53:E53)</f>
        <v>0</v>
      </c>
    </row>
    <row r="54" spans="1:6" x14ac:dyDescent="0.25">
      <c r="B54" s="70" t="s">
        <v>49</v>
      </c>
      <c r="C54" s="61">
        <f t="shared" si="10"/>
        <v>0</v>
      </c>
      <c r="D54" s="61">
        <f t="shared" si="10"/>
        <v>0</v>
      </c>
      <c r="E54" s="61">
        <f t="shared" si="10"/>
        <v>0</v>
      </c>
      <c r="F54" s="61">
        <f t="shared" si="11"/>
        <v>0</v>
      </c>
    </row>
    <row r="55" spans="1:6" x14ac:dyDescent="0.25">
      <c r="B55" s="70" t="s">
        <v>50</v>
      </c>
      <c r="C55" s="61">
        <f t="shared" si="10"/>
        <v>0</v>
      </c>
      <c r="D55" s="61">
        <f t="shared" si="10"/>
        <v>0</v>
      </c>
      <c r="E55" s="61">
        <f t="shared" si="10"/>
        <v>0</v>
      </c>
      <c r="F55" s="61">
        <f t="shared" si="11"/>
        <v>0</v>
      </c>
    </row>
    <row r="56" spans="1:6" x14ac:dyDescent="0.25">
      <c r="B56" s="70" t="s">
        <v>51</v>
      </c>
      <c r="C56" s="61">
        <f t="shared" si="10"/>
        <v>2193.114</v>
      </c>
      <c r="D56" s="61">
        <f t="shared" si="10"/>
        <v>2175.7824000000005</v>
      </c>
      <c r="E56" s="61">
        <f t="shared" si="10"/>
        <v>396.84920000000011</v>
      </c>
      <c r="F56" s="61">
        <f t="shared" si="11"/>
        <v>4765.7456000000002</v>
      </c>
    </row>
    <row r="57" spans="1:6" x14ac:dyDescent="0.25">
      <c r="B57" s="73" t="s">
        <v>79</v>
      </c>
      <c r="C57" s="74">
        <f>SUM(C52:C56)</f>
        <v>2193.114</v>
      </c>
      <c r="D57" s="74">
        <f t="shared" ref="D57:F57" si="12">SUM(D52:D56)</f>
        <v>2175.7824000000005</v>
      </c>
      <c r="E57" s="74">
        <f t="shared" si="12"/>
        <v>396.84920000000011</v>
      </c>
      <c r="F57" s="74">
        <f t="shared" si="12"/>
        <v>4765.7456000000002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0</v>
      </c>
      <c r="D61" s="61">
        <f t="shared" ref="D61:E61" si="13">+D52*135</f>
        <v>0</v>
      </c>
      <c r="E61" s="61">
        <f t="shared" si="13"/>
        <v>0</v>
      </c>
      <c r="F61" s="61">
        <f>SUM(C61:E61)</f>
        <v>0</v>
      </c>
    </row>
    <row r="62" spans="1:6" x14ac:dyDescent="0.25">
      <c r="B62" s="70" t="s">
        <v>48</v>
      </c>
      <c r="C62" s="61">
        <f t="shared" ref="C62:E65" si="14">+C53*135</f>
        <v>0</v>
      </c>
      <c r="D62" s="61">
        <f t="shared" si="14"/>
        <v>0</v>
      </c>
      <c r="E62" s="61">
        <f t="shared" si="14"/>
        <v>0</v>
      </c>
      <c r="F62" s="61">
        <f t="shared" ref="F62:F65" si="15">SUM(C62:E62)</f>
        <v>0</v>
      </c>
    </row>
    <row r="63" spans="1:6" x14ac:dyDescent="0.25">
      <c r="B63" s="70" t="s">
        <v>49</v>
      </c>
      <c r="C63" s="61">
        <f t="shared" si="14"/>
        <v>0</v>
      </c>
      <c r="D63" s="61">
        <f t="shared" si="14"/>
        <v>0</v>
      </c>
      <c r="E63" s="61">
        <f t="shared" si="14"/>
        <v>0</v>
      </c>
      <c r="F63" s="61">
        <f t="shared" si="15"/>
        <v>0</v>
      </c>
    </row>
    <row r="64" spans="1:6" x14ac:dyDescent="0.25">
      <c r="B64" s="70" t="s">
        <v>50</v>
      </c>
      <c r="C64" s="61">
        <f t="shared" si="14"/>
        <v>0</v>
      </c>
      <c r="D64" s="61">
        <f t="shared" si="14"/>
        <v>0</v>
      </c>
      <c r="E64" s="61">
        <f t="shared" si="14"/>
        <v>0</v>
      </c>
      <c r="F64" s="61">
        <f t="shared" si="15"/>
        <v>0</v>
      </c>
    </row>
    <row r="65" spans="1:7" x14ac:dyDescent="0.25">
      <c r="B65" s="70" t="s">
        <v>51</v>
      </c>
      <c r="C65" s="61">
        <f t="shared" si="14"/>
        <v>296070.39</v>
      </c>
      <c r="D65" s="61">
        <f t="shared" si="14"/>
        <v>293730.62400000007</v>
      </c>
      <c r="E65" s="61">
        <f t="shared" si="14"/>
        <v>53574.642000000014</v>
      </c>
      <c r="F65" s="61">
        <f t="shared" si="15"/>
        <v>643375.65600000008</v>
      </c>
    </row>
    <row r="66" spans="1:7" x14ac:dyDescent="0.25">
      <c r="B66" s="73" t="s">
        <v>79</v>
      </c>
      <c r="C66" s="74">
        <f>SUM(C61:C65)</f>
        <v>296070.39</v>
      </c>
      <c r="D66" s="74">
        <f t="shared" ref="D66:F66" si="16">SUM(D61:D65)</f>
        <v>293730.62400000007</v>
      </c>
      <c r="E66" s="74">
        <f t="shared" si="16"/>
        <v>53574.642000000014</v>
      </c>
      <c r="F66" s="74">
        <f t="shared" si="16"/>
        <v>643375.65600000008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0</v>
      </c>
      <c r="D69" s="61">
        <f t="shared" ref="D69:E69" si="17">+D61*0.925</f>
        <v>0</v>
      </c>
      <c r="E69" s="61">
        <f t="shared" si="17"/>
        <v>0</v>
      </c>
      <c r="F69" s="61">
        <f>SUM(C69:E69)</f>
        <v>0</v>
      </c>
    </row>
    <row r="70" spans="1:7" x14ac:dyDescent="0.25">
      <c r="B70" s="70" t="s">
        <v>48</v>
      </c>
      <c r="C70" s="61">
        <f t="shared" ref="C70:E73" si="18">+C62*0.925</f>
        <v>0</v>
      </c>
      <c r="D70" s="61">
        <f t="shared" si="18"/>
        <v>0</v>
      </c>
      <c r="E70" s="61">
        <f t="shared" si="18"/>
        <v>0</v>
      </c>
      <c r="F70" s="61">
        <f t="shared" ref="F70:F73" si="19">SUM(C70:E70)</f>
        <v>0</v>
      </c>
    </row>
    <row r="71" spans="1:7" x14ac:dyDescent="0.25">
      <c r="B71" s="70" t="s">
        <v>49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9"/>
        <v>0</v>
      </c>
    </row>
    <row r="72" spans="1:7" x14ac:dyDescent="0.25">
      <c r="B72" s="70" t="s">
        <v>50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9"/>
        <v>0</v>
      </c>
    </row>
    <row r="73" spans="1:7" x14ac:dyDescent="0.25">
      <c r="B73" s="70" t="s">
        <v>51</v>
      </c>
      <c r="C73" s="61">
        <f t="shared" si="18"/>
        <v>273865.11075000005</v>
      </c>
      <c r="D73" s="61">
        <f t="shared" si="18"/>
        <v>271700.82720000006</v>
      </c>
      <c r="E73" s="61">
        <f t="shared" si="18"/>
        <v>49556.543850000016</v>
      </c>
      <c r="F73" s="61">
        <f t="shared" si="19"/>
        <v>595122.48180000018</v>
      </c>
    </row>
    <row r="74" spans="1:7" ht="15.75" thickBot="1" x14ac:dyDescent="0.3">
      <c r="B74" s="73" t="s">
        <v>79</v>
      </c>
      <c r="C74" s="49">
        <f>SUM(C69:C73)</f>
        <v>273865.11075000005</v>
      </c>
      <c r="D74" s="49">
        <f t="shared" ref="D74:F74" si="20">SUM(D69:D73)</f>
        <v>271700.82720000006</v>
      </c>
      <c r="E74" s="49">
        <f t="shared" si="20"/>
        <v>49556.543850000016</v>
      </c>
      <c r="F74" s="49">
        <f t="shared" si="20"/>
        <v>595122.48180000018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0</v>
      </c>
      <c r="D78" s="61">
        <f t="shared" ref="D78:E82" si="21">+D33*50</f>
        <v>0</v>
      </c>
      <c r="E78" s="61">
        <f t="shared" si="21"/>
        <v>0</v>
      </c>
      <c r="F78" s="61">
        <f>SUM(C78:E78)</f>
        <v>0</v>
      </c>
    </row>
    <row r="79" spans="1:7" x14ac:dyDescent="0.25">
      <c r="B79" s="70" t="s">
        <v>48</v>
      </c>
      <c r="C79" s="61">
        <f>+C34*50</f>
        <v>0</v>
      </c>
      <c r="D79" s="61">
        <f t="shared" si="21"/>
        <v>0</v>
      </c>
      <c r="E79" s="61">
        <f t="shared" si="21"/>
        <v>0</v>
      </c>
      <c r="F79" s="61">
        <f t="shared" ref="F79:F82" si="22">SUM(C79:E79)</f>
        <v>0</v>
      </c>
    </row>
    <row r="80" spans="1:7" x14ac:dyDescent="0.25">
      <c r="B80" s="70" t="s">
        <v>49</v>
      </c>
      <c r="C80" s="61">
        <f>+C35*50</f>
        <v>0</v>
      </c>
      <c r="D80" s="61">
        <f t="shared" si="21"/>
        <v>0</v>
      </c>
      <c r="E80" s="61">
        <f t="shared" si="21"/>
        <v>0</v>
      </c>
      <c r="F80" s="61">
        <f t="shared" si="22"/>
        <v>0</v>
      </c>
    </row>
    <row r="81" spans="1:7" x14ac:dyDescent="0.25">
      <c r="B81" s="70" t="s">
        <v>50</v>
      </c>
      <c r="C81" s="61">
        <f>+C36*50</f>
        <v>0</v>
      </c>
      <c r="D81" s="61">
        <f t="shared" si="21"/>
        <v>0</v>
      </c>
      <c r="E81" s="61">
        <f t="shared" si="21"/>
        <v>0</v>
      </c>
      <c r="F81" s="61">
        <f t="shared" si="22"/>
        <v>0</v>
      </c>
    </row>
    <row r="82" spans="1:7" x14ac:dyDescent="0.25">
      <c r="B82" s="70" t="s">
        <v>51</v>
      </c>
      <c r="C82" s="61">
        <f>+C37*50</f>
        <v>9494</v>
      </c>
      <c r="D82" s="61">
        <f t="shared" si="21"/>
        <v>9696</v>
      </c>
      <c r="E82" s="61">
        <f t="shared" si="21"/>
        <v>3838.0000000000005</v>
      </c>
      <c r="F82" s="61">
        <f t="shared" si="22"/>
        <v>23028</v>
      </c>
    </row>
    <row r="83" spans="1:7" ht="15.75" thickBot="1" x14ac:dyDescent="0.3">
      <c r="B83" s="73" t="s">
        <v>79</v>
      </c>
      <c r="C83" s="49">
        <f>SUM(C78:C82)</f>
        <v>9494</v>
      </c>
      <c r="D83" s="49">
        <f t="shared" ref="D83:F83" si="23">SUM(D78:D82)</f>
        <v>9696</v>
      </c>
      <c r="E83" s="49">
        <f t="shared" si="23"/>
        <v>3838.0000000000005</v>
      </c>
      <c r="F83" s="49">
        <f t="shared" si="23"/>
        <v>23028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156.01914675767918</v>
      </c>
      <c r="D93" s="61">
        <f>+D38*J13</f>
        <v>152.43830395426394</v>
      </c>
      <c r="E93" s="61">
        <f>+E38*K13</f>
        <v>52.06330434782609</v>
      </c>
      <c r="F93" s="61">
        <f>SUM(C93:E93)</f>
        <v>360.52075505976921</v>
      </c>
    </row>
    <row r="94" spans="1:7" x14ac:dyDescent="0.25">
      <c r="B94" s="70" t="s">
        <v>110</v>
      </c>
      <c r="C94" s="61">
        <f>+C38-C93</f>
        <v>33.860853242320815</v>
      </c>
      <c r="D94" s="61">
        <f t="shared" ref="D94:E94" si="24">+D38-D93</f>
        <v>41.481696045736072</v>
      </c>
      <c r="E94" s="61">
        <f t="shared" si="24"/>
        <v>24.696695652173915</v>
      </c>
      <c r="F94" s="61">
        <f t="shared" ref="F94" si="25">SUM(C94:E94)</f>
        <v>100.0392449402308</v>
      </c>
    </row>
    <row r="95" spans="1:7" x14ac:dyDescent="0.25">
      <c r="B95" s="73" t="s">
        <v>79</v>
      </c>
      <c r="C95" s="74">
        <f>SUM(C93:C94)</f>
        <v>189.88</v>
      </c>
      <c r="D95" s="74">
        <f>SUM(D93:D94)</f>
        <v>193.92000000000002</v>
      </c>
      <c r="E95" s="74">
        <f>SUM(E93:E94)</f>
        <v>76.760000000000005</v>
      </c>
      <c r="F95" s="74">
        <f>SUM(F93:F94)</f>
        <v>460.56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31203.829351535835</v>
      </c>
      <c r="D98" s="61">
        <f t="shared" ref="D98" si="26">+D93*200</f>
        <v>30487.660790852788</v>
      </c>
      <c r="E98" s="61">
        <f>+E93*50</f>
        <v>2603.1652173913044</v>
      </c>
      <c r="F98" s="61">
        <f>SUM(C98:E98)</f>
        <v>64294.655359779921</v>
      </c>
    </row>
    <row r="99" spans="2:6" x14ac:dyDescent="0.25">
      <c r="B99" s="70" t="s">
        <v>110</v>
      </c>
      <c r="C99" s="61">
        <f>+C94*70</f>
        <v>2370.2597269624571</v>
      </c>
      <c r="D99" s="61">
        <f t="shared" ref="D99" si="27">+D94*70</f>
        <v>2903.7187232015249</v>
      </c>
      <c r="E99" s="88">
        <f>+'[1]Facility Fee'!$X$37*E38</f>
        <v>0</v>
      </c>
      <c r="F99" s="61">
        <f t="shared" ref="F99" si="28">SUM(C99:E99)</f>
        <v>5273.9784501639824</v>
      </c>
    </row>
    <row r="100" spans="2:6" x14ac:dyDescent="0.25">
      <c r="B100" s="73" t="s">
        <v>79</v>
      </c>
      <c r="C100" s="74">
        <f>SUM(C98:C99)</f>
        <v>33574.089078498291</v>
      </c>
      <c r="D100" s="74">
        <f>SUM(D98:D99)</f>
        <v>33391.379514054315</v>
      </c>
      <c r="E100" s="74">
        <f>SUM(E98:E99)</f>
        <v>2603.1652173913044</v>
      </c>
      <c r="F100" s="74">
        <f>SUM(F98:F99)</f>
        <v>69568.633809943902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workbookViewId="0">
      <selection activeCell="J33" sqref="J33"/>
    </sheetView>
  </sheetViews>
  <sheetFormatPr defaultRowHeight="12.75" x14ac:dyDescent="0.2"/>
  <cols>
    <col min="2" max="2" width="12.85546875" bestFit="1" customWidth="1"/>
    <col min="3" max="3" width="15.85546875" bestFit="1" customWidth="1"/>
    <col min="4" max="4" width="13.28515625" bestFit="1" customWidth="1"/>
    <col min="5" max="5" width="13.28515625" customWidth="1"/>
    <col min="6" max="6" width="12.85546875" bestFit="1" customWidth="1"/>
    <col min="7" max="7" width="13.85546875" style="136" bestFit="1" customWidth="1"/>
    <col min="8" max="8" width="13.85546875" style="136" customWidth="1"/>
    <col min="9" max="9" width="13.42578125" bestFit="1" customWidth="1"/>
    <col min="10" max="10" width="13.5703125" bestFit="1" customWidth="1"/>
  </cols>
  <sheetData>
    <row r="2" spans="1:6" x14ac:dyDescent="0.2">
      <c r="B2" s="330" t="s">
        <v>211</v>
      </c>
      <c r="C2" s="331"/>
      <c r="D2" s="331"/>
      <c r="E2" s="331"/>
      <c r="F2" s="331"/>
    </row>
    <row r="3" spans="1:6" x14ac:dyDescent="0.2">
      <c r="B3" s="199" t="s">
        <v>212</v>
      </c>
      <c r="C3" s="199" t="s">
        <v>213</v>
      </c>
      <c r="D3" s="199" t="s">
        <v>214</v>
      </c>
      <c r="E3" s="199"/>
      <c r="F3" s="199" t="s">
        <v>215</v>
      </c>
    </row>
    <row r="4" spans="1:6" x14ac:dyDescent="0.2">
      <c r="A4" s="182" t="s">
        <v>124</v>
      </c>
      <c r="B4" s="136" t="e">
        <f>+#REF!</f>
        <v>#REF!</v>
      </c>
      <c r="C4" s="136" t="e">
        <f>+#REF!</f>
        <v>#REF!</v>
      </c>
      <c r="D4" s="136" t="e">
        <f>+#REF!+#REF!</f>
        <v>#REF!</v>
      </c>
      <c r="E4" s="136"/>
      <c r="F4" s="136" t="e">
        <f>+B4+C4+D4</f>
        <v>#REF!</v>
      </c>
    </row>
    <row r="5" spans="1:6" x14ac:dyDescent="0.2">
      <c r="A5" s="182" t="s">
        <v>48</v>
      </c>
      <c r="B5" s="136" t="e">
        <f>+#REF!</f>
        <v>#REF!</v>
      </c>
      <c r="C5" s="136" t="e">
        <f>+#REF!</f>
        <v>#REF!</v>
      </c>
      <c r="D5" s="136" t="e">
        <f>+#REF!+#REF!</f>
        <v>#REF!</v>
      </c>
      <c r="E5" s="136"/>
      <c r="F5" s="136" t="e">
        <f t="shared" ref="F5:F8" si="0">+B5+C5+D5</f>
        <v>#REF!</v>
      </c>
    </row>
    <row r="6" spans="1:6" x14ac:dyDescent="0.2">
      <c r="A6" s="182" t="s">
        <v>49</v>
      </c>
      <c r="B6" s="136" t="e">
        <f>+#REF!</f>
        <v>#REF!</v>
      </c>
      <c r="C6" s="136" t="e">
        <f>+#REF!</f>
        <v>#REF!</v>
      </c>
      <c r="D6" s="136" t="e">
        <f>+#REF!+#REF!</f>
        <v>#REF!</v>
      </c>
      <c r="E6" s="136"/>
      <c r="F6" s="136" t="e">
        <f t="shared" si="0"/>
        <v>#REF!</v>
      </c>
    </row>
    <row r="7" spans="1:6" x14ac:dyDescent="0.2">
      <c r="A7" s="182" t="s">
        <v>50</v>
      </c>
      <c r="B7" s="136" t="e">
        <f>+#REF!</f>
        <v>#REF!</v>
      </c>
      <c r="C7" s="136" t="e">
        <f>+#REF!</f>
        <v>#REF!</v>
      </c>
      <c r="D7" s="136" t="e">
        <f>+#REF!+#REF!</f>
        <v>#REF!</v>
      </c>
      <c r="E7" s="136"/>
      <c r="F7" s="136" t="e">
        <f t="shared" si="0"/>
        <v>#REF!</v>
      </c>
    </row>
    <row r="8" spans="1:6" x14ac:dyDescent="0.2">
      <c r="A8" s="182" t="s">
        <v>51</v>
      </c>
      <c r="B8" s="136" t="e">
        <f>+#REF!</f>
        <v>#REF!</v>
      </c>
      <c r="C8" s="136" t="e">
        <f>+#REF!</f>
        <v>#REF!</v>
      </c>
      <c r="D8" s="136" t="e">
        <f>+#REF!+#REF!</f>
        <v>#REF!</v>
      </c>
      <c r="E8" s="136"/>
      <c r="F8" s="136" t="e">
        <f t="shared" si="0"/>
        <v>#REF!</v>
      </c>
    </row>
    <row r="9" spans="1:6" ht="13.5" thickBot="1" x14ac:dyDescent="0.25">
      <c r="A9" s="189" t="s">
        <v>79</v>
      </c>
      <c r="B9" s="137" t="e">
        <f>SUM(B4:B8)</f>
        <v>#REF!</v>
      </c>
      <c r="C9" s="137" t="e">
        <f t="shared" ref="C9:F9" si="1">SUM(C4:C8)</f>
        <v>#REF!</v>
      </c>
      <c r="D9" s="137" t="e">
        <f t="shared" si="1"/>
        <v>#REF!</v>
      </c>
      <c r="E9" s="137"/>
      <c r="F9" s="137" t="e">
        <f t="shared" si="1"/>
        <v>#REF!</v>
      </c>
    </row>
    <row r="10" spans="1:6" ht="13.5" thickTop="1" x14ac:dyDescent="0.2"/>
    <row r="11" spans="1:6" x14ac:dyDescent="0.2">
      <c r="B11" s="330" t="s">
        <v>216</v>
      </c>
      <c r="C11" s="331"/>
      <c r="D11" s="331"/>
      <c r="E11" s="331"/>
      <c r="F11" s="331"/>
    </row>
    <row r="12" spans="1:6" x14ac:dyDescent="0.2">
      <c r="B12" s="199" t="s">
        <v>212</v>
      </c>
      <c r="C12" s="199" t="s">
        <v>213</v>
      </c>
      <c r="D12" s="199" t="s">
        <v>214</v>
      </c>
      <c r="E12" s="199"/>
      <c r="F12" s="199" t="s">
        <v>215</v>
      </c>
    </row>
    <row r="13" spans="1:6" x14ac:dyDescent="0.2">
      <c r="A13" s="182" t="s">
        <v>124</v>
      </c>
      <c r="B13" s="136" t="e">
        <f>+#REF!</f>
        <v>#REF!</v>
      </c>
      <c r="C13" s="136" t="e">
        <f>+#REF!</f>
        <v>#REF!</v>
      </c>
      <c r="D13" s="136" t="e">
        <f>+#REF!+#REF!</f>
        <v>#REF!</v>
      </c>
      <c r="E13" s="136"/>
      <c r="F13" s="136" t="e">
        <f>+B13+C13+D13</f>
        <v>#REF!</v>
      </c>
    </row>
    <row r="14" spans="1:6" x14ac:dyDescent="0.2">
      <c r="A14" s="182" t="s">
        <v>48</v>
      </c>
      <c r="B14" s="136" t="e">
        <f>+#REF!</f>
        <v>#REF!</v>
      </c>
      <c r="C14" s="136" t="e">
        <f>+#REF!</f>
        <v>#REF!</v>
      </c>
      <c r="D14" s="136" t="e">
        <f>+#REF!+#REF!</f>
        <v>#REF!</v>
      </c>
      <c r="E14" s="136"/>
      <c r="F14" s="136" t="e">
        <f t="shared" ref="F14:F17" si="2">+B14+C14+D14</f>
        <v>#REF!</v>
      </c>
    </row>
    <row r="15" spans="1:6" x14ac:dyDescent="0.2">
      <c r="A15" s="182" t="s">
        <v>49</v>
      </c>
      <c r="B15" s="136" t="e">
        <f>+#REF!</f>
        <v>#REF!</v>
      </c>
      <c r="C15" s="136" t="e">
        <f>+#REF!</f>
        <v>#REF!</v>
      </c>
      <c r="D15" s="136" t="e">
        <f>+#REF!+#REF!</f>
        <v>#REF!</v>
      </c>
      <c r="E15" s="136"/>
      <c r="F15" s="136" t="e">
        <f t="shared" si="2"/>
        <v>#REF!</v>
      </c>
    </row>
    <row r="16" spans="1:6" x14ac:dyDescent="0.2">
      <c r="A16" s="182" t="s">
        <v>50</v>
      </c>
      <c r="B16" s="136" t="e">
        <f>+#REF!</f>
        <v>#REF!</v>
      </c>
      <c r="C16" s="136" t="e">
        <f>+#REF!</f>
        <v>#REF!</v>
      </c>
      <c r="D16" s="136" t="e">
        <f>+#REF!+#REF!</f>
        <v>#REF!</v>
      </c>
      <c r="E16" s="136"/>
      <c r="F16" s="136" t="e">
        <f t="shared" si="2"/>
        <v>#REF!</v>
      </c>
    </row>
    <row r="17" spans="1:10" x14ac:dyDescent="0.2">
      <c r="A17" s="182" t="s">
        <v>51</v>
      </c>
      <c r="B17" s="136" t="e">
        <f>+#REF!</f>
        <v>#REF!</v>
      </c>
      <c r="C17" s="136" t="e">
        <f>+#REF!</f>
        <v>#REF!</v>
      </c>
      <c r="D17" s="136" t="e">
        <f>+#REF!+#REF!</f>
        <v>#REF!</v>
      </c>
      <c r="E17" s="136"/>
      <c r="F17" s="136" t="e">
        <f t="shared" si="2"/>
        <v>#REF!</v>
      </c>
    </row>
    <row r="18" spans="1:10" ht="13.5" thickBot="1" x14ac:dyDescent="0.25">
      <c r="A18" s="189" t="s">
        <v>79</v>
      </c>
      <c r="B18" s="137" t="e">
        <f>SUM(B13:B17)</f>
        <v>#REF!</v>
      </c>
      <c r="C18" s="137" t="e">
        <f t="shared" ref="C18" si="3">SUM(C13:C17)</f>
        <v>#REF!</v>
      </c>
      <c r="D18" s="137" t="e">
        <f t="shared" ref="D18" si="4">SUM(D13:D17)</f>
        <v>#REF!</v>
      </c>
      <c r="E18" s="137"/>
      <c r="F18" s="137" t="e">
        <f t="shared" ref="F18" si="5">SUM(F13:F17)</f>
        <v>#REF!</v>
      </c>
    </row>
    <row r="19" spans="1:10" ht="13.5" thickTop="1" x14ac:dyDescent="0.2"/>
    <row r="20" spans="1:10" x14ac:dyDescent="0.2">
      <c r="B20" s="330" t="s">
        <v>217</v>
      </c>
      <c r="C20" s="331"/>
      <c r="D20" s="331"/>
      <c r="E20" s="331"/>
      <c r="F20" s="331"/>
    </row>
    <row r="21" spans="1:10" x14ac:dyDescent="0.2">
      <c r="B21" s="199" t="s">
        <v>212</v>
      </c>
      <c r="C21" s="199" t="s">
        <v>213</v>
      </c>
      <c r="D21" s="199" t="s">
        <v>214</v>
      </c>
      <c r="E21" s="199"/>
      <c r="F21" s="199" t="s">
        <v>215</v>
      </c>
    </row>
    <row r="22" spans="1:10" x14ac:dyDescent="0.2">
      <c r="A22" s="182" t="s">
        <v>124</v>
      </c>
      <c r="B22" s="136" t="e">
        <f>+#REF!</f>
        <v>#REF!</v>
      </c>
      <c r="C22" s="136" t="e">
        <f>+#REF!</f>
        <v>#REF!</v>
      </c>
      <c r="D22" s="136" t="e">
        <f>+#REF!+#REF!</f>
        <v>#REF!</v>
      </c>
      <c r="E22" s="136"/>
      <c r="F22" s="136" t="e">
        <f>+B22+C22+D22</f>
        <v>#REF!</v>
      </c>
    </row>
    <row r="23" spans="1:10" x14ac:dyDescent="0.2">
      <c r="A23" s="182" t="s">
        <v>48</v>
      </c>
      <c r="B23" s="136" t="e">
        <f>+#REF!</f>
        <v>#REF!</v>
      </c>
      <c r="C23" s="136" t="e">
        <f>+#REF!</f>
        <v>#REF!</v>
      </c>
      <c r="D23" s="136" t="e">
        <f>+#REF!+#REF!</f>
        <v>#REF!</v>
      </c>
      <c r="E23" s="136"/>
      <c r="F23" s="136" t="e">
        <f t="shared" ref="F23:F26" si="6">+B23+C23+D23</f>
        <v>#REF!</v>
      </c>
    </row>
    <row r="24" spans="1:10" x14ac:dyDescent="0.2">
      <c r="A24" s="182" t="s">
        <v>49</v>
      </c>
      <c r="B24" s="136" t="e">
        <f>+#REF!</f>
        <v>#REF!</v>
      </c>
      <c r="C24" s="136" t="e">
        <f>+#REF!</f>
        <v>#REF!</v>
      </c>
      <c r="D24" s="136" t="e">
        <f>+#REF!+#REF!</f>
        <v>#REF!</v>
      </c>
      <c r="E24" s="136"/>
      <c r="F24" s="136" t="e">
        <f t="shared" si="6"/>
        <v>#REF!</v>
      </c>
    </row>
    <row r="25" spans="1:10" x14ac:dyDescent="0.2">
      <c r="A25" s="182" t="s">
        <v>50</v>
      </c>
      <c r="B25" s="136" t="e">
        <f>+#REF!</f>
        <v>#REF!</v>
      </c>
      <c r="C25" s="136" t="e">
        <f>+#REF!</f>
        <v>#REF!</v>
      </c>
      <c r="D25" s="136" t="e">
        <f>+#REF!+#REF!</f>
        <v>#REF!</v>
      </c>
      <c r="E25" s="136"/>
      <c r="F25" s="136" t="e">
        <f t="shared" si="6"/>
        <v>#REF!</v>
      </c>
    </row>
    <row r="26" spans="1:10" x14ac:dyDescent="0.2">
      <c r="A26" s="182" t="s">
        <v>51</v>
      </c>
      <c r="B26" s="136" t="e">
        <f>+#REF!</f>
        <v>#REF!</v>
      </c>
      <c r="C26" s="136" t="e">
        <f>+#REF!</f>
        <v>#REF!</v>
      </c>
      <c r="D26" s="136" t="e">
        <f>+#REF!+#REF!</f>
        <v>#REF!</v>
      </c>
      <c r="E26" s="136"/>
      <c r="F26" s="136" t="e">
        <f t="shared" si="6"/>
        <v>#REF!</v>
      </c>
    </row>
    <row r="27" spans="1:10" ht="13.5" thickBot="1" x14ac:dyDescent="0.25">
      <c r="A27" s="189" t="s">
        <v>79</v>
      </c>
      <c r="B27" s="137" t="e">
        <f>SUM(B22:B26)</f>
        <v>#REF!</v>
      </c>
      <c r="C27" s="137" t="e">
        <f t="shared" ref="C27" si="7">SUM(C22:C26)</f>
        <v>#REF!</v>
      </c>
      <c r="D27" s="137" t="e">
        <f t="shared" ref="D27" si="8">SUM(D22:D26)</f>
        <v>#REF!</v>
      </c>
      <c r="E27" s="137"/>
      <c r="F27" s="137" t="e">
        <f t="shared" ref="F27" si="9">SUM(F22:F26)</f>
        <v>#REF!</v>
      </c>
    </row>
    <row r="28" spans="1:10" ht="13.5" thickTop="1" x14ac:dyDescent="0.2"/>
    <row r="29" spans="1:10" x14ac:dyDescent="0.2">
      <c r="B29" s="330" t="s">
        <v>215</v>
      </c>
      <c r="C29" s="331"/>
      <c r="D29" s="331"/>
      <c r="E29" s="331"/>
      <c r="F29" s="331"/>
      <c r="G29" s="136" t="s">
        <v>153</v>
      </c>
      <c r="H29" s="136" t="s">
        <v>219</v>
      </c>
      <c r="I29" t="s">
        <v>175</v>
      </c>
    </row>
    <row r="30" spans="1:10" x14ac:dyDescent="0.2">
      <c r="B30" s="199" t="s">
        <v>212</v>
      </c>
      <c r="C30" s="199" t="s">
        <v>213</v>
      </c>
      <c r="D30" s="199" t="s">
        <v>214</v>
      </c>
      <c r="E30" s="199" t="s">
        <v>159</v>
      </c>
      <c r="F30" s="199" t="s">
        <v>215</v>
      </c>
    </row>
    <row r="31" spans="1:10" x14ac:dyDescent="0.2">
      <c r="A31" s="182" t="s">
        <v>124</v>
      </c>
      <c r="B31" s="136" t="e">
        <f>+B4+B13+B22</f>
        <v>#REF!</v>
      </c>
      <c r="C31" s="136" t="e">
        <f t="shared" ref="C31:D31" si="10">+C4+C13+C22</f>
        <v>#REF!</v>
      </c>
      <c r="D31" s="136" t="e">
        <f t="shared" si="10"/>
        <v>#REF!</v>
      </c>
      <c r="E31" s="136">
        <v>100000</v>
      </c>
      <c r="F31" s="136" t="e">
        <f>+B31+C31+D31+E31</f>
        <v>#REF!</v>
      </c>
      <c r="G31" s="136">
        <f>'2022'!C68+'2022'!I68+'2022'!J68+'2022'!K68+'2022'!L68-0.48</f>
        <v>7337006.6435704827</v>
      </c>
      <c r="H31" s="136">
        <f>2294347.27977503</f>
        <v>2294347.27977503</v>
      </c>
      <c r="I31" s="167">
        <f>+G31-H31</f>
        <v>5042659.3637954528</v>
      </c>
      <c r="J31" s="167" t="e">
        <f>+F31-I31</f>
        <v>#REF!</v>
      </c>
    </row>
    <row r="32" spans="1:10" x14ac:dyDescent="0.2">
      <c r="A32" s="182" t="s">
        <v>48</v>
      </c>
      <c r="B32" s="136" t="e">
        <f t="shared" ref="B32:D32" si="11">+B5+B14+B23</f>
        <v>#REF!</v>
      </c>
      <c r="C32" s="136" t="e">
        <f t="shared" si="11"/>
        <v>#REF!</v>
      </c>
      <c r="D32" s="136" t="e">
        <f t="shared" si="11"/>
        <v>#REF!</v>
      </c>
      <c r="E32" s="136"/>
      <c r="F32" s="100" t="e">
        <f t="shared" ref="F32:F35" si="12">+B32+C32+D32</f>
        <v>#REF!</v>
      </c>
      <c r="G32" s="100">
        <f>'2022'!E68</f>
        <v>1620223.3770377224</v>
      </c>
      <c r="H32" s="100">
        <v>664604.63665493974</v>
      </c>
      <c r="I32" s="167">
        <f t="shared" ref="I32:I35" si="13">+G32-H32</f>
        <v>955618.74038278265</v>
      </c>
      <c r="J32" s="167" t="e">
        <f t="shared" ref="J32:J35" si="14">+F32-I32</f>
        <v>#REF!</v>
      </c>
    </row>
    <row r="33" spans="1:10" x14ac:dyDescent="0.2">
      <c r="A33" s="182" t="s">
        <v>49</v>
      </c>
      <c r="B33" s="136" t="e">
        <f t="shared" ref="B33:D33" si="15">+B6+B15+B24</f>
        <v>#REF!</v>
      </c>
      <c r="C33" s="136" t="e">
        <f t="shared" si="15"/>
        <v>#REF!</v>
      </c>
      <c r="D33" s="136" t="e">
        <f t="shared" si="15"/>
        <v>#REF!</v>
      </c>
      <c r="E33" s="136"/>
      <c r="F33" s="100" t="e">
        <f t="shared" si="12"/>
        <v>#REF!</v>
      </c>
      <c r="G33" s="100">
        <f>'2022'!F68</f>
        <v>1328265.4069136833</v>
      </c>
      <c r="H33" s="100">
        <v>408812.00670522265</v>
      </c>
      <c r="I33" s="167">
        <f t="shared" si="13"/>
        <v>919453.40020846063</v>
      </c>
      <c r="J33" s="167" t="e">
        <f t="shared" si="14"/>
        <v>#REF!</v>
      </c>
    </row>
    <row r="34" spans="1:10" x14ac:dyDescent="0.2">
      <c r="A34" s="182" t="s">
        <v>50</v>
      </c>
      <c r="B34" s="136" t="e">
        <f t="shared" ref="B34:D34" si="16">+B7+B16+B25</f>
        <v>#REF!</v>
      </c>
      <c r="C34" s="136" t="e">
        <f t="shared" si="16"/>
        <v>#REF!</v>
      </c>
      <c r="D34" s="136" t="e">
        <f t="shared" si="16"/>
        <v>#REF!</v>
      </c>
      <c r="E34" s="136"/>
      <c r="F34" s="100" t="e">
        <f t="shared" si="12"/>
        <v>#REF!</v>
      </c>
      <c r="G34" s="100">
        <f>'2022'!G68</f>
        <v>812753.51401405327</v>
      </c>
      <c r="H34" s="100">
        <v>234564.61697074948</v>
      </c>
      <c r="I34" s="167">
        <f t="shared" si="13"/>
        <v>578188.89704330382</v>
      </c>
      <c r="J34" s="167" t="e">
        <f t="shared" si="14"/>
        <v>#REF!</v>
      </c>
    </row>
    <row r="35" spans="1:10" x14ac:dyDescent="0.2">
      <c r="A35" s="182" t="s">
        <v>51</v>
      </c>
      <c r="B35" s="136" t="e">
        <f t="shared" ref="B35:D35" si="17">+B8+B17+B26</f>
        <v>#REF!</v>
      </c>
      <c r="C35" s="136" t="e">
        <f t="shared" si="17"/>
        <v>#REF!</v>
      </c>
      <c r="D35" s="136" t="e">
        <f t="shared" si="17"/>
        <v>#REF!</v>
      </c>
      <c r="E35" s="136"/>
      <c r="F35" s="100" t="e">
        <f t="shared" si="12"/>
        <v>#REF!</v>
      </c>
      <c r="G35" s="100">
        <f>'2022'!H68</f>
        <v>781473.98429723957</v>
      </c>
      <c r="H35" s="100">
        <v>197671.45989405317</v>
      </c>
      <c r="I35" s="167">
        <f t="shared" si="13"/>
        <v>583802.5244031864</v>
      </c>
      <c r="J35" s="167" t="e">
        <f t="shared" si="14"/>
        <v>#REF!</v>
      </c>
    </row>
    <row r="36" spans="1:10" ht="13.5" thickBot="1" x14ac:dyDescent="0.25">
      <c r="A36" s="189" t="s">
        <v>79</v>
      </c>
      <c r="B36" s="137" t="e">
        <f>SUM(B31:B35)</f>
        <v>#REF!</v>
      </c>
      <c r="C36" s="137" t="e">
        <f t="shared" ref="C36" si="18">SUM(C31:C35)</f>
        <v>#REF!</v>
      </c>
      <c r="D36" s="137" t="e">
        <f t="shared" ref="D36" si="19">SUM(D31:D35)</f>
        <v>#REF!</v>
      </c>
      <c r="E36" s="137"/>
      <c r="F36" s="202" t="e">
        <f t="shared" ref="F36:J36" si="20">SUM(F31:F35)</f>
        <v>#REF!</v>
      </c>
      <c r="G36" s="202">
        <f t="shared" si="20"/>
        <v>11879722.925833182</v>
      </c>
      <c r="H36" s="202">
        <f t="shared" si="20"/>
        <v>3799999.9999999949</v>
      </c>
      <c r="I36" s="202">
        <f t="shared" si="20"/>
        <v>8079722.9258331852</v>
      </c>
      <c r="J36" s="202" t="e">
        <f t="shared" si="20"/>
        <v>#REF!</v>
      </c>
    </row>
    <row r="37" spans="1:10" ht="13.5" thickTop="1" x14ac:dyDescent="0.2"/>
  </sheetData>
  <mergeCells count="4">
    <mergeCell ref="B2:F2"/>
    <mergeCell ref="B11:F11"/>
    <mergeCell ref="B20:F20"/>
    <mergeCell ref="B29:F2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A32" sqref="A32"/>
    </sheetView>
  </sheetViews>
  <sheetFormatPr defaultRowHeight="12.75" x14ac:dyDescent="0.2"/>
  <cols>
    <col min="6" max="6" width="12.85546875" style="152" bestFit="1" customWidth="1"/>
    <col min="7" max="7" width="15" bestFit="1" customWidth="1"/>
  </cols>
  <sheetData>
    <row r="1" spans="1:7" x14ac:dyDescent="0.2">
      <c r="A1" s="1" t="s">
        <v>0</v>
      </c>
    </row>
    <row r="2" spans="1:7" x14ac:dyDescent="0.2">
      <c r="A2" s="4" t="s">
        <v>173</v>
      </c>
    </row>
    <row r="4" spans="1:7" x14ac:dyDescent="0.2">
      <c r="A4" s="149" t="s">
        <v>161</v>
      </c>
      <c r="G4" s="158">
        <v>12749169</v>
      </c>
    </row>
    <row r="5" spans="1:7" x14ac:dyDescent="0.2">
      <c r="A5" s="39" t="s">
        <v>112</v>
      </c>
      <c r="F5" s="152">
        <f>+'Proj Rev '!H20</f>
        <v>7753531.9442625009</v>
      </c>
    </row>
    <row r="6" spans="1:7" x14ac:dyDescent="0.2">
      <c r="A6" s="39" t="s">
        <v>113</v>
      </c>
      <c r="F6" s="152">
        <f>+'Proj Rev '!H21</f>
        <v>278962</v>
      </c>
    </row>
    <row r="7" spans="1:7" x14ac:dyDescent="0.2">
      <c r="A7" s="39" t="s">
        <v>114</v>
      </c>
      <c r="F7" s="152">
        <f>+'Proj Rev '!H22</f>
        <v>820675.5</v>
      </c>
    </row>
    <row r="8" spans="1:7" x14ac:dyDescent="0.2">
      <c r="A8" s="39" t="s">
        <v>159</v>
      </c>
      <c r="F8" s="152">
        <f>+'Proj Rev '!H25</f>
        <v>96000</v>
      </c>
    </row>
    <row r="9" spans="1:7" x14ac:dyDescent="0.2">
      <c r="A9" s="39" t="s">
        <v>115</v>
      </c>
      <c r="F9" s="152">
        <f>+'Proj Rev '!H26</f>
        <v>1000000</v>
      </c>
    </row>
    <row r="10" spans="1:7" ht="15" x14ac:dyDescent="0.35">
      <c r="A10" s="39" t="s">
        <v>116</v>
      </c>
      <c r="F10" s="153">
        <f>+'Proj Rev '!H27</f>
        <v>2800000</v>
      </c>
      <c r="G10" s="154"/>
    </row>
    <row r="11" spans="1:7" x14ac:dyDescent="0.2">
      <c r="A11" s="151"/>
    </row>
    <row r="12" spans="1:7" x14ac:dyDescent="0.2">
      <c r="A12" s="157" t="s">
        <v>162</v>
      </c>
    </row>
    <row r="13" spans="1:7" x14ac:dyDescent="0.2">
      <c r="A13" s="155" t="s">
        <v>163</v>
      </c>
      <c r="F13" s="152">
        <v>8606446</v>
      </c>
    </row>
    <row r="14" spans="1:7" x14ac:dyDescent="0.2">
      <c r="A14" s="155" t="s">
        <v>22</v>
      </c>
      <c r="F14" s="152">
        <v>356013</v>
      </c>
    </row>
    <row r="15" spans="1:7" x14ac:dyDescent="0.2">
      <c r="A15" s="155" t="s">
        <v>164</v>
      </c>
      <c r="F15" s="152">
        <v>452931</v>
      </c>
    </row>
    <row r="16" spans="1:7" x14ac:dyDescent="0.2">
      <c r="A16" s="155" t="s">
        <v>165</v>
      </c>
      <c r="F16" s="152">
        <v>3114979</v>
      </c>
    </row>
    <row r="17" spans="1:10" ht="15" x14ac:dyDescent="0.35">
      <c r="A17" s="155" t="s">
        <v>166</v>
      </c>
      <c r="F17" s="153">
        <v>218800</v>
      </c>
      <c r="G17" s="160">
        <f>SUM(F13:F17)</f>
        <v>12749169</v>
      </c>
    </row>
    <row r="18" spans="1:10" ht="13.5" thickBot="1" x14ac:dyDescent="0.25">
      <c r="A18" s="155" t="s">
        <v>167</v>
      </c>
      <c r="G18" s="161">
        <f>+G4-G17</f>
        <v>0</v>
      </c>
    </row>
    <row r="19" spans="1:10" ht="13.5" thickTop="1" x14ac:dyDescent="0.2">
      <c r="A19" s="155"/>
    </row>
    <row r="20" spans="1:10" x14ac:dyDescent="0.2">
      <c r="A20" s="155"/>
    </row>
    <row r="21" spans="1:10" x14ac:dyDescent="0.2">
      <c r="A21" s="155"/>
    </row>
    <row r="22" spans="1:10" x14ac:dyDescent="0.2">
      <c r="A22" s="155"/>
    </row>
    <row r="23" spans="1:10" x14ac:dyDescent="0.2">
      <c r="A23" s="155" t="s">
        <v>168</v>
      </c>
    </row>
    <row r="24" spans="1:10" ht="15" x14ac:dyDescent="0.35">
      <c r="A24" s="155"/>
      <c r="F24" s="162" t="s">
        <v>169</v>
      </c>
      <c r="G24" s="162" t="s">
        <v>170</v>
      </c>
      <c r="H24" s="150" t="s">
        <v>171</v>
      </c>
      <c r="I24" s="150" t="s">
        <v>172</v>
      </c>
      <c r="J24" s="150"/>
    </row>
    <row r="25" spans="1:10" x14ac:dyDescent="0.2">
      <c r="A25" s="155" t="s">
        <v>163</v>
      </c>
      <c r="F25" s="152">
        <v>8606446</v>
      </c>
      <c r="G25" s="152">
        <f>+'exp line dept (2015-2017)'!CH18</f>
        <v>8454138</v>
      </c>
      <c r="H25" s="154">
        <f>+F25-G25</f>
        <v>152308</v>
      </c>
      <c r="I25" s="164">
        <f>+H25/G25</f>
        <v>1.8015792976173325E-2</v>
      </c>
    </row>
    <row r="26" spans="1:10" x14ac:dyDescent="0.2">
      <c r="A26" s="155" t="s">
        <v>22</v>
      </c>
      <c r="F26" s="152">
        <v>356013</v>
      </c>
      <c r="G26" s="152">
        <f>+'exp line dept (2015-2017)'!CH22</f>
        <v>206426</v>
      </c>
      <c r="H26" s="154">
        <f t="shared" ref="H26:H30" si="0">+F26-G26</f>
        <v>149587</v>
      </c>
      <c r="I26" s="164">
        <f t="shared" ref="I26:I30" si="1">+H26/G26</f>
        <v>0.72465193338048506</v>
      </c>
    </row>
    <row r="27" spans="1:10" x14ac:dyDescent="0.2">
      <c r="A27" s="155" t="s">
        <v>164</v>
      </c>
      <c r="F27" s="152">
        <v>452931</v>
      </c>
      <c r="G27" s="152">
        <f>+'exp line dept (2015-2017)'!CH27</f>
        <v>454768</v>
      </c>
      <c r="H27" s="154">
        <f t="shared" si="0"/>
        <v>-1837</v>
      </c>
      <c r="I27" s="164">
        <f t="shared" si="1"/>
        <v>-4.0394222988424863E-3</v>
      </c>
    </row>
    <row r="28" spans="1:10" x14ac:dyDescent="0.2">
      <c r="A28" s="155" t="s">
        <v>165</v>
      </c>
      <c r="F28" s="152">
        <v>3114979</v>
      </c>
      <c r="G28" s="152">
        <f>+'exp line dept (2015-2017)'!CH57</f>
        <v>3113554</v>
      </c>
      <c r="H28" s="154">
        <f t="shared" si="0"/>
        <v>1425</v>
      </c>
      <c r="I28" s="164">
        <f t="shared" si="1"/>
        <v>4.5767634028508902E-4</v>
      </c>
    </row>
    <row r="29" spans="1:10" ht="15" x14ac:dyDescent="0.35">
      <c r="A29" s="155" t="s">
        <v>166</v>
      </c>
      <c r="F29" s="153">
        <v>218800</v>
      </c>
      <c r="G29" s="163">
        <f>+'exp line dept (2015-2017)'!CH63</f>
        <v>193200</v>
      </c>
      <c r="H29" s="159">
        <f t="shared" si="0"/>
        <v>25600</v>
      </c>
      <c r="I29" s="164">
        <f t="shared" si="1"/>
        <v>0.13250517598343686</v>
      </c>
    </row>
    <row r="30" spans="1:10" ht="15" x14ac:dyDescent="0.35">
      <c r="A30" s="155" t="s">
        <v>79</v>
      </c>
      <c r="F30" s="153">
        <f>SUM(F25:F29)</f>
        <v>12749169</v>
      </c>
      <c r="G30" s="153">
        <f>SUM(G25:G29)</f>
        <v>12422086</v>
      </c>
      <c r="H30" s="159">
        <f t="shared" si="0"/>
        <v>327083</v>
      </c>
      <c r="I30" s="164">
        <f t="shared" si="1"/>
        <v>2.6330762804250431E-2</v>
      </c>
    </row>
    <row r="31" spans="1:10" x14ac:dyDescent="0.2">
      <c r="A31" s="155"/>
    </row>
    <row r="32" spans="1:10" x14ac:dyDescent="0.2">
      <c r="A32" s="155"/>
    </row>
    <row r="33" spans="1:6" x14ac:dyDescent="0.2">
      <c r="A33" s="155"/>
    </row>
    <row r="34" spans="1:6" x14ac:dyDescent="0.2">
      <c r="A34" s="155"/>
    </row>
    <row r="35" spans="1:6" x14ac:dyDescent="0.2">
      <c r="A35" s="155"/>
    </row>
    <row r="36" spans="1:6" x14ac:dyDescent="0.2">
      <c r="A36" s="155"/>
    </row>
    <row r="37" spans="1:6" x14ac:dyDescent="0.2">
      <c r="A37" s="155"/>
    </row>
    <row r="38" spans="1:6" x14ac:dyDescent="0.2">
      <c r="A38" s="155"/>
    </row>
    <row r="39" spans="1:6" ht="15" x14ac:dyDescent="0.35">
      <c r="A39" s="155"/>
      <c r="F39" s="153"/>
    </row>
    <row r="40" spans="1:6" x14ac:dyDescent="0.2">
      <c r="A40" s="155"/>
    </row>
    <row r="41" spans="1:6" x14ac:dyDescent="0.2">
      <c r="A41" s="155"/>
    </row>
    <row r="42" spans="1:6" x14ac:dyDescent="0.2">
      <c r="A42" s="155"/>
    </row>
    <row r="43" spans="1:6" x14ac:dyDescent="0.2">
      <c r="A43" s="155"/>
    </row>
    <row r="44" spans="1:6" x14ac:dyDescent="0.2">
      <c r="A44" s="155"/>
    </row>
    <row r="45" spans="1:6" x14ac:dyDescent="0.2">
      <c r="A45" s="155"/>
    </row>
    <row r="46" spans="1:6" x14ac:dyDescent="0.2">
      <c r="A46" s="156"/>
    </row>
    <row r="47" spans="1:6" x14ac:dyDescent="0.2">
      <c r="A47" s="155"/>
    </row>
    <row r="48" spans="1:6" x14ac:dyDescent="0.2">
      <c r="A48" s="155"/>
    </row>
    <row r="49" spans="1:1" x14ac:dyDescent="0.2">
      <c r="A49" s="155"/>
    </row>
    <row r="50" spans="1:1" x14ac:dyDescent="0.2">
      <c r="A50" s="155"/>
    </row>
    <row r="51" spans="1:1" x14ac:dyDescent="0.2">
      <c r="A51" s="155"/>
    </row>
    <row r="52" spans="1:1" x14ac:dyDescent="0.2">
      <c r="A52" s="155"/>
    </row>
    <row r="53" spans="1:1" x14ac:dyDescent="0.2">
      <c r="A53" s="155"/>
    </row>
    <row r="54" spans="1:1" x14ac:dyDescent="0.2">
      <c r="A54" s="155"/>
    </row>
    <row r="55" spans="1:1" x14ac:dyDescent="0.2">
      <c r="A55" s="155"/>
    </row>
    <row r="56" spans="1:1" x14ac:dyDescent="0.2">
      <c r="A56" s="155"/>
    </row>
    <row r="57" spans="1:1" x14ac:dyDescent="0.2">
      <c r="A57" s="155"/>
    </row>
    <row r="58" spans="1:1" x14ac:dyDescent="0.2">
      <c r="A58" s="155"/>
    </row>
    <row r="59" spans="1:1" x14ac:dyDescent="0.2">
      <c r="A59" s="155"/>
    </row>
    <row r="60" spans="1:1" x14ac:dyDescent="0.2">
      <c r="A60" s="155"/>
    </row>
    <row r="61" spans="1:1" x14ac:dyDescent="0.2">
      <c r="A61" s="155"/>
    </row>
    <row r="62" spans="1:1" x14ac:dyDescent="0.2">
      <c r="A62" s="150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A32" sqref="A32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24" t="s">
        <v>103</v>
      </c>
      <c r="D11" s="325"/>
      <c r="E11" s="326"/>
      <c r="F11" s="324" t="s">
        <v>104</v>
      </c>
      <c r="G11" s="325"/>
      <c r="H11" s="326"/>
      <c r="I11" s="324" t="s">
        <v>105</v>
      </c>
      <c r="J11" s="325"/>
      <c r="K11" s="326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7753531.9442625009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278962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820675.5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8853169.4442625009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12749169.444262501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27" t="s">
        <v>119</v>
      </c>
      <c r="J31" s="328"/>
      <c r="K31" s="328"/>
      <c r="L31" s="328"/>
      <c r="M31" s="329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977.68000000000006</v>
      </c>
      <c r="D33" s="61">
        <f t="shared" ref="D33:E37" si="3">+K33*1.01</f>
        <v>855.47</v>
      </c>
      <c r="E33" s="61">
        <f t="shared" si="3"/>
        <v>391.88</v>
      </c>
      <c r="F33" s="61">
        <f>SUM(C33:E33)</f>
        <v>2225.0300000000002</v>
      </c>
      <c r="G33" s="71"/>
      <c r="I33" s="70" t="s">
        <v>124</v>
      </c>
      <c r="J33" s="61">
        <v>968</v>
      </c>
      <c r="K33" s="61">
        <v>847</v>
      </c>
      <c r="L33" s="61">
        <v>388</v>
      </c>
      <c r="M33" s="61">
        <f>SUM(J33:L33)</f>
        <v>2203</v>
      </c>
    </row>
    <row r="34" spans="1:14" x14ac:dyDescent="0.25">
      <c r="A34" s="69"/>
      <c r="B34" s="70" t="s">
        <v>48</v>
      </c>
      <c r="C34" s="61">
        <f t="shared" ref="C34:C37" si="4">+J34*1.01</f>
        <v>710.03</v>
      </c>
      <c r="D34" s="61">
        <f t="shared" si="3"/>
        <v>610.04</v>
      </c>
      <c r="E34" s="61">
        <f t="shared" si="3"/>
        <v>322.19</v>
      </c>
      <c r="F34" s="61">
        <f t="shared" ref="F34:F37" si="5">SUM(C34:E34)</f>
        <v>1642.26</v>
      </c>
      <c r="G34" s="71"/>
      <c r="I34" s="70" t="s">
        <v>48</v>
      </c>
      <c r="J34" s="61">
        <v>703</v>
      </c>
      <c r="K34" s="61">
        <v>604</v>
      </c>
      <c r="L34" s="61">
        <v>319</v>
      </c>
      <c r="M34" s="61">
        <f t="shared" ref="M34:M37" si="6">SUM(J34:L34)</f>
        <v>1626</v>
      </c>
    </row>
    <row r="35" spans="1:14" s="72" customFormat="1" x14ac:dyDescent="0.25">
      <c r="A35" s="69"/>
      <c r="B35" s="70" t="s">
        <v>49</v>
      </c>
      <c r="C35" s="61">
        <f t="shared" si="4"/>
        <v>264.62</v>
      </c>
      <c r="D35" s="61">
        <f t="shared" si="3"/>
        <v>240.38</v>
      </c>
      <c r="E35" s="61">
        <f t="shared" si="3"/>
        <v>132.31</v>
      </c>
      <c r="F35" s="61">
        <f t="shared" si="5"/>
        <v>637.30999999999995</v>
      </c>
      <c r="I35" s="70" t="s">
        <v>49</v>
      </c>
      <c r="J35" s="61">
        <v>262</v>
      </c>
      <c r="K35" s="61">
        <v>238</v>
      </c>
      <c r="L35" s="61">
        <v>131</v>
      </c>
      <c r="M35" s="61">
        <f t="shared" si="6"/>
        <v>631</v>
      </c>
    </row>
    <row r="36" spans="1:14" x14ac:dyDescent="0.25">
      <c r="A36" s="69"/>
      <c r="B36" s="70" t="s">
        <v>50</v>
      </c>
      <c r="C36" s="61">
        <f t="shared" si="4"/>
        <v>225.23</v>
      </c>
      <c r="D36" s="61">
        <f t="shared" si="3"/>
        <v>220.18</v>
      </c>
      <c r="E36" s="61">
        <f t="shared" si="3"/>
        <v>168.67</v>
      </c>
      <c r="F36" s="61">
        <f t="shared" si="5"/>
        <v>614.07999999999993</v>
      </c>
      <c r="G36" s="71"/>
      <c r="I36" s="70" t="s">
        <v>50</v>
      </c>
      <c r="J36" s="61">
        <v>223</v>
      </c>
      <c r="K36" s="61">
        <v>218</v>
      </c>
      <c r="L36" s="61">
        <v>167</v>
      </c>
      <c r="M36" s="61">
        <f t="shared" si="6"/>
        <v>608</v>
      </c>
    </row>
    <row r="37" spans="1:14" x14ac:dyDescent="0.25">
      <c r="A37" s="69"/>
      <c r="B37" s="70" t="s">
        <v>51</v>
      </c>
      <c r="C37" s="61">
        <f t="shared" si="4"/>
        <v>189.88</v>
      </c>
      <c r="D37" s="61">
        <f t="shared" si="3"/>
        <v>193.92000000000002</v>
      </c>
      <c r="E37" s="61">
        <f t="shared" si="3"/>
        <v>76.760000000000005</v>
      </c>
      <c r="F37" s="61">
        <f t="shared" si="5"/>
        <v>460.56</v>
      </c>
      <c r="I37" s="70" t="s">
        <v>51</v>
      </c>
      <c r="J37" s="61">
        <v>188</v>
      </c>
      <c r="K37" s="61">
        <v>192</v>
      </c>
      <c r="L37" s="61">
        <v>76</v>
      </c>
      <c r="M37" s="61">
        <f t="shared" si="6"/>
        <v>456</v>
      </c>
    </row>
    <row r="38" spans="1:14" x14ac:dyDescent="0.25">
      <c r="A38" s="69"/>
      <c r="B38" s="73" t="s">
        <v>79</v>
      </c>
      <c r="C38" s="74">
        <f>SUM(C33:C37)</f>
        <v>2367.44</v>
      </c>
      <c r="D38" s="74">
        <f>SUM(D33:D37)</f>
        <v>2119.9899999999998</v>
      </c>
      <c r="E38" s="74">
        <f>SUM(E33:E37)</f>
        <v>1091.81</v>
      </c>
      <c r="F38" s="74">
        <f>SUM(F33:F37)</f>
        <v>5579.2400000000007</v>
      </c>
      <c r="I38" s="73" t="s">
        <v>79</v>
      </c>
      <c r="J38" s="74">
        <f>SUM(J33:J37)</f>
        <v>2344</v>
      </c>
      <c r="K38" s="74">
        <f>SUM(K33:K37)</f>
        <v>2099</v>
      </c>
      <c r="L38" s="74">
        <f>SUM(L33:L37)</f>
        <v>1081</v>
      </c>
      <c r="M38" s="74">
        <f>SUM(M33:M37)</f>
        <v>5524</v>
      </c>
      <c r="N38" s="57">
        <f>+F38-M38</f>
        <v>55.240000000000691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27" t="s">
        <v>119</v>
      </c>
      <c r="J41" s="328"/>
      <c r="K41" s="328"/>
      <c r="L41" s="328"/>
      <c r="M41" s="329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13.750000000000002</v>
      </c>
      <c r="D43" s="75">
        <f t="shared" ref="D43:E47" si="7">+K43*1.1</f>
        <v>13.750000000000002</v>
      </c>
      <c r="E43" s="75">
        <f t="shared" si="7"/>
        <v>5.7200000000000006</v>
      </c>
      <c r="I43" s="70" t="s">
        <v>124</v>
      </c>
      <c r="J43" s="75">
        <v>12.5</v>
      </c>
      <c r="K43" s="75">
        <v>12.5</v>
      </c>
      <c r="L43" s="75">
        <v>5.2</v>
      </c>
    </row>
    <row r="44" spans="1:14" x14ac:dyDescent="0.25">
      <c r="A44" s="69"/>
      <c r="B44" s="70" t="s">
        <v>48</v>
      </c>
      <c r="C44" s="75">
        <f t="shared" ref="C44:C47" si="8">+J44*1.1</f>
        <v>11.22</v>
      </c>
      <c r="D44" s="75">
        <f t="shared" si="7"/>
        <v>11.990000000000002</v>
      </c>
      <c r="E44" s="75">
        <f t="shared" si="7"/>
        <v>5.3900000000000006</v>
      </c>
      <c r="I44" s="70" t="s">
        <v>48</v>
      </c>
      <c r="J44" s="75">
        <v>10.199999999999999</v>
      </c>
      <c r="K44" s="75">
        <v>10.9</v>
      </c>
      <c r="L44" s="75">
        <v>4.9000000000000004</v>
      </c>
    </row>
    <row r="45" spans="1:14" x14ac:dyDescent="0.25">
      <c r="A45" s="69"/>
      <c r="B45" s="70" t="s">
        <v>49</v>
      </c>
      <c r="C45" s="75">
        <f t="shared" si="8"/>
        <v>12.870000000000001</v>
      </c>
      <c r="D45" s="75">
        <f t="shared" si="7"/>
        <v>12.980000000000002</v>
      </c>
      <c r="E45" s="75">
        <f t="shared" si="7"/>
        <v>6.38</v>
      </c>
      <c r="I45" s="70" t="s">
        <v>49</v>
      </c>
      <c r="J45" s="75">
        <v>11.7</v>
      </c>
      <c r="K45" s="75">
        <v>11.8</v>
      </c>
      <c r="L45" s="75">
        <v>5.8</v>
      </c>
    </row>
    <row r="46" spans="1:14" x14ac:dyDescent="0.25">
      <c r="A46" s="69"/>
      <c r="B46" s="70" t="s">
        <v>50</v>
      </c>
      <c r="C46" s="75">
        <f t="shared" si="8"/>
        <v>9.9</v>
      </c>
      <c r="D46" s="75">
        <f t="shared" si="7"/>
        <v>10.340000000000002</v>
      </c>
      <c r="E46" s="75">
        <f t="shared" si="7"/>
        <v>5.83</v>
      </c>
      <c r="F46" s="76"/>
      <c r="G46" s="76"/>
      <c r="I46" s="70" t="s">
        <v>50</v>
      </c>
      <c r="J46" s="77">
        <v>9</v>
      </c>
      <c r="K46" s="75">
        <v>9.4</v>
      </c>
      <c r="L46" s="75">
        <v>5.3</v>
      </c>
    </row>
    <row r="47" spans="1:14" x14ac:dyDescent="0.25">
      <c r="A47" s="69"/>
      <c r="B47" s="70" t="s">
        <v>51</v>
      </c>
      <c r="C47" s="75">
        <f t="shared" si="8"/>
        <v>11.55</v>
      </c>
      <c r="D47" s="75">
        <f t="shared" si="7"/>
        <v>11.22</v>
      </c>
      <c r="E47" s="75">
        <f t="shared" si="7"/>
        <v>5.1700000000000008</v>
      </c>
      <c r="I47" s="70" t="s">
        <v>51</v>
      </c>
      <c r="J47" s="77">
        <v>10.5</v>
      </c>
      <c r="K47" s="75">
        <v>10.199999999999999</v>
      </c>
      <c r="L47" s="75">
        <v>4.7</v>
      </c>
    </row>
    <row r="48" spans="1:14" x14ac:dyDescent="0.25">
      <c r="A48" s="69"/>
      <c r="B48" s="73" t="s">
        <v>126</v>
      </c>
      <c r="C48" s="78">
        <f>SUM(C43:C47)/5</f>
        <v>11.858000000000001</v>
      </c>
      <c r="D48" s="78">
        <f>SUM(D43:D47)/5</f>
        <v>12.056000000000001</v>
      </c>
      <c r="E48" s="78">
        <f>SUM(E43:E47)/5</f>
        <v>5.6980000000000004</v>
      </c>
      <c r="I48" s="73" t="s">
        <v>126</v>
      </c>
      <c r="J48" s="78">
        <f>SUM(J43:J47)/5</f>
        <v>10.78</v>
      </c>
      <c r="K48" s="78">
        <f>SUM(K43:K47)/5</f>
        <v>10.959999999999999</v>
      </c>
      <c r="L48" s="78">
        <f>SUM(L43:L47)/5</f>
        <v>5.1800000000000006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13443.100000000002</v>
      </c>
      <c r="D52" s="61">
        <f t="shared" ref="D52:E52" si="9">+D33*D43</f>
        <v>11762.712500000001</v>
      </c>
      <c r="E52" s="61">
        <f t="shared" si="9"/>
        <v>2241.5536000000002</v>
      </c>
      <c r="F52" s="61">
        <f>SUM(C52:E52)</f>
        <v>27447.366100000003</v>
      </c>
    </row>
    <row r="53" spans="1:6" x14ac:dyDescent="0.25">
      <c r="B53" s="70" t="s">
        <v>48</v>
      </c>
      <c r="C53" s="61">
        <f t="shared" ref="C53:E56" si="10">+C34*C44</f>
        <v>7966.5366000000004</v>
      </c>
      <c r="D53" s="61">
        <f t="shared" si="10"/>
        <v>7314.3796000000011</v>
      </c>
      <c r="E53" s="61">
        <f t="shared" si="10"/>
        <v>1736.6041000000002</v>
      </c>
      <c r="F53" s="61">
        <f t="shared" ref="F53:F56" si="11">SUM(C53:E53)</f>
        <v>17017.5203</v>
      </c>
    </row>
    <row r="54" spans="1:6" x14ac:dyDescent="0.25">
      <c r="B54" s="70" t="s">
        <v>49</v>
      </c>
      <c r="C54" s="61">
        <f t="shared" si="10"/>
        <v>3405.6594000000005</v>
      </c>
      <c r="D54" s="61">
        <f t="shared" si="10"/>
        <v>3120.1324000000004</v>
      </c>
      <c r="E54" s="61">
        <f t="shared" si="10"/>
        <v>844.13779999999997</v>
      </c>
      <c r="F54" s="61">
        <f t="shared" si="11"/>
        <v>7369.9296000000013</v>
      </c>
    </row>
    <row r="55" spans="1:6" x14ac:dyDescent="0.25">
      <c r="B55" s="70" t="s">
        <v>50</v>
      </c>
      <c r="C55" s="61">
        <f t="shared" si="10"/>
        <v>2229.777</v>
      </c>
      <c r="D55" s="61">
        <f t="shared" si="10"/>
        <v>2276.6612000000005</v>
      </c>
      <c r="E55" s="61">
        <f t="shared" si="10"/>
        <v>983.34609999999998</v>
      </c>
      <c r="F55" s="61">
        <f t="shared" si="11"/>
        <v>5489.7843000000003</v>
      </c>
    </row>
    <row r="56" spans="1:6" x14ac:dyDescent="0.25">
      <c r="B56" s="70" t="s">
        <v>51</v>
      </c>
      <c r="C56" s="61">
        <f t="shared" si="10"/>
        <v>2193.114</v>
      </c>
      <c r="D56" s="61">
        <f t="shared" si="10"/>
        <v>2175.7824000000005</v>
      </c>
      <c r="E56" s="61">
        <f t="shared" si="10"/>
        <v>396.84920000000011</v>
      </c>
      <c r="F56" s="61">
        <f t="shared" si="11"/>
        <v>4765.7456000000002</v>
      </c>
    </row>
    <row r="57" spans="1:6" x14ac:dyDescent="0.25">
      <c r="B57" s="73" t="s">
        <v>79</v>
      </c>
      <c r="C57" s="74">
        <f>SUM(C52:C56)</f>
        <v>29238.187000000005</v>
      </c>
      <c r="D57" s="74">
        <f t="shared" ref="D57:F57" si="12">SUM(D52:D56)</f>
        <v>26649.668100000006</v>
      </c>
      <c r="E57" s="74">
        <f t="shared" si="12"/>
        <v>6202.4907999999996</v>
      </c>
      <c r="F57" s="74">
        <f t="shared" si="12"/>
        <v>62090.345900000008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1814818.5000000002</v>
      </c>
      <c r="D61" s="61">
        <f t="shared" ref="D61:E61" si="13">+D52*135</f>
        <v>1587966.1875000002</v>
      </c>
      <c r="E61" s="61">
        <f t="shared" si="13"/>
        <v>302609.73600000003</v>
      </c>
      <c r="F61" s="61">
        <f>SUM(C61:E61)</f>
        <v>3705394.4235000005</v>
      </c>
    </row>
    <row r="62" spans="1:6" x14ac:dyDescent="0.25">
      <c r="B62" s="70" t="s">
        <v>48</v>
      </c>
      <c r="C62" s="61">
        <f t="shared" ref="C62:E65" si="14">+C53*135</f>
        <v>1075482.4410000001</v>
      </c>
      <c r="D62" s="61">
        <f t="shared" si="14"/>
        <v>987441.24600000016</v>
      </c>
      <c r="E62" s="61">
        <f t="shared" si="14"/>
        <v>234441.55350000004</v>
      </c>
      <c r="F62" s="61">
        <f t="shared" ref="F62:F65" si="15">SUM(C62:E62)</f>
        <v>2297365.2405000003</v>
      </c>
    </row>
    <row r="63" spans="1:6" x14ac:dyDescent="0.25">
      <c r="B63" s="70" t="s">
        <v>49</v>
      </c>
      <c r="C63" s="61">
        <f t="shared" si="14"/>
        <v>459764.01900000009</v>
      </c>
      <c r="D63" s="61">
        <f t="shared" si="14"/>
        <v>421217.87400000007</v>
      </c>
      <c r="E63" s="61">
        <f t="shared" si="14"/>
        <v>113958.603</v>
      </c>
      <c r="F63" s="61">
        <f t="shared" si="15"/>
        <v>994940.49600000016</v>
      </c>
    </row>
    <row r="64" spans="1:6" x14ac:dyDescent="0.25">
      <c r="B64" s="70" t="s">
        <v>50</v>
      </c>
      <c r="C64" s="61">
        <f t="shared" si="14"/>
        <v>301019.89500000002</v>
      </c>
      <c r="D64" s="61">
        <f t="shared" si="14"/>
        <v>307349.26200000005</v>
      </c>
      <c r="E64" s="61">
        <f t="shared" si="14"/>
        <v>132751.72349999999</v>
      </c>
      <c r="F64" s="61">
        <f t="shared" si="15"/>
        <v>741120.88050000009</v>
      </c>
    </row>
    <row r="65" spans="1:7" x14ac:dyDescent="0.25">
      <c r="B65" s="70" t="s">
        <v>51</v>
      </c>
      <c r="C65" s="61">
        <f t="shared" si="14"/>
        <v>296070.39</v>
      </c>
      <c r="D65" s="61">
        <f t="shared" si="14"/>
        <v>293730.62400000007</v>
      </c>
      <c r="E65" s="61">
        <f t="shared" si="14"/>
        <v>53574.642000000014</v>
      </c>
      <c r="F65" s="61">
        <f t="shared" si="15"/>
        <v>643375.65600000008</v>
      </c>
    </row>
    <row r="66" spans="1:7" x14ac:dyDescent="0.25">
      <c r="B66" s="73" t="s">
        <v>79</v>
      </c>
      <c r="C66" s="74">
        <f>SUM(C61:C65)</f>
        <v>3947155.245000001</v>
      </c>
      <c r="D66" s="74">
        <f t="shared" ref="D66:F66" si="16">SUM(D61:D65)</f>
        <v>3597705.1935000001</v>
      </c>
      <c r="E66" s="74">
        <f t="shared" si="16"/>
        <v>837336.25800000003</v>
      </c>
      <c r="F66" s="74">
        <f t="shared" si="16"/>
        <v>8382196.6965000015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1678707.1125000003</v>
      </c>
      <c r="D69" s="61">
        <f t="shared" ref="D69:E69" si="17">+D61*0.925</f>
        <v>1468868.7234375002</v>
      </c>
      <c r="E69" s="61">
        <f t="shared" si="17"/>
        <v>279914.00580000004</v>
      </c>
      <c r="F69" s="61">
        <f>SUM(C69:E69)</f>
        <v>3427489.8417375004</v>
      </c>
    </row>
    <row r="70" spans="1:7" x14ac:dyDescent="0.25">
      <c r="B70" s="70" t="s">
        <v>48</v>
      </c>
      <c r="C70" s="61">
        <f t="shared" ref="C70:E73" si="18">+C62*0.925</f>
        <v>994821.25792500016</v>
      </c>
      <c r="D70" s="61">
        <f t="shared" si="18"/>
        <v>913383.15255000023</v>
      </c>
      <c r="E70" s="61">
        <f t="shared" si="18"/>
        <v>216858.43698750006</v>
      </c>
      <c r="F70" s="61">
        <f t="shared" ref="F70:F73" si="19">SUM(C70:E70)</f>
        <v>2125062.8474625004</v>
      </c>
    </row>
    <row r="71" spans="1:7" x14ac:dyDescent="0.25">
      <c r="B71" s="70" t="s">
        <v>49</v>
      </c>
      <c r="C71" s="61">
        <f t="shared" si="18"/>
        <v>425281.71757500008</v>
      </c>
      <c r="D71" s="61">
        <f t="shared" si="18"/>
        <v>389626.5334500001</v>
      </c>
      <c r="E71" s="61">
        <f t="shared" si="18"/>
        <v>105411.707775</v>
      </c>
      <c r="F71" s="61">
        <f t="shared" si="19"/>
        <v>920319.95880000014</v>
      </c>
    </row>
    <row r="72" spans="1:7" x14ac:dyDescent="0.25">
      <c r="B72" s="70" t="s">
        <v>50</v>
      </c>
      <c r="C72" s="61">
        <f t="shared" si="18"/>
        <v>278443.40287500003</v>
      </c>
      <c r="D72" s="61">
        <f t="shared" si="18"/>
        <v>284298.06735000008</v>
      </c>
      <c r="E72" s="61">
        <f t="shared" si="18"/>
        <v>122795.3442375</v>
      </c>
      <c r="F72" s="61">
        <f t="shared" si="19"/>
        <v>685536.81446250004</v>
      </c>
    </row>
    <row r="73" spans="1:7" x14ac:dyDescent="0.25">
      <c r="B73" s="70" t="s">
        <v>51</v>
      </c>
      <c r="C73" s="61">
        <f t="shared" si="18"/>
        <v>273865.11075000005</v>
      </c>
      <c r="D73" s="61">
        <f t="shared" si="18"/>
        <v>271700.82720000006</v>
      </c>
      <c r="E73" s="61">
        <f t="shared" si="18"/>
        <v>49556.543850000016</v>
      </c>
      <c r="F73" s="61">
        <f t="shared" si="19"/>
        <v>595122.48180000018</v>
      </c>
    </row>
    <row r="74" spans="1:7" ht="15.75" thickBot="1" x14ac:dyDescent="0.3">
      <c r="B74" s="73" t="s">
        <v>79</v>
      </c>
      <c r="C74" s="49">
        <f>SUM(C69:C73)</f>
        <v>3651118.6016250006</v>
      </c>
      <c r="D74" s="49">
        <f t="shared" ref="D74:F74" si="20">SUM(D69:D73)</f>
        <v>3327877.3039875007</v>
      </c>
      <c r="E74" s="49">
        <f t="shared" si="20"/>
        <v>774536.03865000012</v>
      </c>
      <c r="F74" s="49">
        <f t="shared" si="20"/>
        <v>7753531.9442625009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48884</v>
      </c>
      <c r="D78" s="61">
        <f t="shared" ref="D78:E82" si="21">+D33*50</f>
        <v>42773.5</v>
      </c>
      <c r="E78" s="61">
        <f t="shared" si="21"/>
        <v>19594</v>
      </c>
      <c r="F78" s="61">
        <f>SUM(C78:E78)</f>
        <v>111251.5</v>
      </c>
    </row>
    <row r="79" spans="1:7" x14ac:dyDescent="0.25">
      <c r="B79" s="70" t="s">
        <v>48</v>
      </c>
      <c r="C79" s="61">
        <f>+C34*50</f>
        <v>35501.5</v>
      </c>
      <c r="D79" s="61">
        <f t="shared" si="21"/>
        <v>30502</v>
      </c>
      <c r="E79" s="61">
        <f t="shared" si="21"/>
        <v>16109.5</v>
      </c>
      <c r="F79" s="61">
        <f t="shared" ref="F79:F82" si="22">SUM(C79:E79)</f>
        <v>82113</v>
      </c>
    </row>
    <row r="80" spans="1:7" x14ac:dyDescent="0.25">
      <c r="B80" s="70" t="s">
        <v>49</v>
      </c>
      <c r="C80" s="61">
        <f>+C35*50</f>
        <v>13231</v>
      </c>
      <c r="D80" s="61">
        <f t="shared" si="21"/>
        <v>12019</v>
      </c>
      <c r="E80" s="61">
        <f t="shared" si="21"/>
        <v>6615.5</v>
      </c>
      <c r="F80" s="61">
        <f t="shared" si="22"/>
        <v>31865.5</v>
      </c>
    </row>
    <row r="81" spans="1:7" x14ac:dyDescent="0.25">
      <c r="B81" s="70" t="s">
        <v>50</v>
      </c>
      <c r="C81" s="61">
        <f>+C36*50</f>
        <v>11261.5</v>
      </c>
      <c r="D81" s="61">
        <f t="shared" si="21"/>
        <v>11009</v>
      </c>
      <c r="E81" s="61">
        <f t="shared" si="21"/>
        <v>8433.5</v>
      </c>
      <c r="F81" s="61">
        <f t="shared" si="22"/>
        <v>30704</v>
      </c>
    </row>
    <row r="82" spans="1:7" x14ac:dyDescent="0.25">
      <c r="B82" s="70" t="s">
        <v>51</v>
      </c>
      <c r="C82" s="61">
        <f>+C37*50</f>
        <v>9494</v>
      </c>
      <c r="D82" s="61">
        <f t="shared" si="21"/>
        <v>9696</v>
      </c>
      <c r="E82" s="61">
        <f t="shared" si="21"/>
        <v>3838.0000000000005</v>
      </c>
      <c r="F82" s="61">
        <f t="shared" si="22"/>
        <v>23028</v>
      </c>
    </row>
    <row r="83" spans="1:7" ht="15.75" thickBot="1" x14ac:dyDescent="0.3">
      <c r="B83" s="73" t="s">
        <v>79</v>
      </c>
      <c r="C83" s="49">
        <f>SUM(C78:C82)</f>
        <v>118372</v>
      </c>
      <c r="D83" s="49">
        <f t="shared" ref="D83:F83" si="23">SUM(D78:D82)</f>
        <v>105999.5</v>
      </c>
      <c r="E83" s="49">
        <f t="shared" si="23"/>
        <v>54590.5</v>
      </c>
      <c r="F83" s="49">
        <f t="shared" si="23"/>
        <v>278962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1945.26</v>
      </c>
      <c r="D93" s="61">
        <f>+D38*J13</f>
        <v>1666.4999999999998</v>
      </c>
      <c r="E93" s="61">
        <f>+E38*K13</f>
        <v>740.53199999999993</v>
      </c>
      <c r="F93" s="61">
        <f>SUM(C93:E93)</f>
        <v>4352.2919999999995</v>
      </c>
    </row>
    <row r="94" spans="1:7" x14ac:dyDescent="0.25">
      <c r="B94" s="70" t="s">
        <v>110</v>
      </c>
      <c r="C94" s="61">
        <f>+C38-C93</f>
        <v>422.18000000000006</v>
      </c>
      <c r="D94" s="61">
        <f t="shared" ref="D94:E94" si="24">+D38-D93</f>
        <v>453.49</v>
      </c>
      <c r="E94" s="61">
        <f t="shared" si="24"/>
        <v>351.27800000000002</v>
      </c>
      <c r="F94" s="61">
        <f t="shared" ref="F94" si="25">SUM(C94:E94)</f>
        <v>1226.9480000000001</v>
      </c>
    </row>
    <row r="95" spans="1:7" x14ac:dyDescent="0.25">
      <c r="B95" s="73" t="s">
        <v>79</v>
      </c>
      <c r="C95" s="74">
        <f>SUM(C93:C94)</f>
        <v>2367.44</v>
      </c>
      <c r="D95" s="74">
        <f>SUM(D93:D94)</f>
        <v>2119.9899999999998</v>
      </c>
      <c r="E95" s="74">
        <f>SUM(E93:E94)</f>
        <v>1091.81</v>
      </c>
      <c r="F95" s="74">
        <f>SUM(F93:F94)</f>
        <v>5579.24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389052</v>
      </c>
      <c r="D98" s="61">
        <f t="shared" ref="D98" si="26">+D93*200</f>
        <v>333299.99999999994</v>
      </c>
      <c r="E98" s="61">
        <f>+E93*50</f>
        <v>37026.6</v>
      </c>
      <c r="F98" s="61">
        <f>SUM(C98:E98)</f>
        <v>759378.6</v>
      </c>
    </row>
    <row r="99" spans="2:6" x14ac:dyDescent="0.25">
      <c r="B99" s="70" t="s">
        <v>110</v>
      </c>
      <c r="C99" s="61">
        <f>+C94*70</f>
        <v>29552.600000000006</v>
      </c>
      <c r="D99" s="61">
        <f t="shared" ref="D99" si="27">+D94*70</f>
        <v>31744.3</v>
      </c>
      <c r="E99" s="88">
        <f>+'[1]Facility Fee'!$X$37*E38</f>
        <v>0</v>
      </c>
      <c r="F99" s="61">
        <f t="shared" ref="F99" si="28">SUM(C99:E99)</f>
        <v>61296.900000000009</v>
      </c>
    </row>
    <row r="100" spans="2:6" x14ac:dyDescent="0.25">
      <c r="B100" s="73" t="s">
        <v>79</v>
      </c>
      <c r="C100" s="74">
        <f>SUM(C98:C99)</f>
        <v>418604.6</v>
      </c>
      <c r="D100" s="74">
        <f>SUM(D98:D99)</f>
        <v>365044.29999999993</v>
      </c>
      <c r="E100" s="74">
        <f>SUM(E98:E99)</f>
        <v>37026.6</v>
      </c>
      <c r="F100" s="74">
        <f>SUM(F98:F99)</f>
        <v>820675.5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A32" sqref="A32"/>
    </sheetView>
  </sheetViews>
  <sheetFormatPr defaultRowHeight="12.75" x14ac:dyDescent="0.2"/>
  <cols>
    <col min="3" max="3" width="14" style="136" bestFit="1" customWidth="1"/>
    <col min="4" max="4" width="14" bestFit="1" customWidth="1"/>
    <col min="5" max="5" width="14.5703125" bestFit="1" customWidth="1"/>
    <col min="6" max="6" width="13.5703125" bestFit="1" customWidth="1"/>
    <col min="7" max="7" width="13.5703125" style="136" bestFit="1" customWidth="1"/>
    <col min="8" max="8" width="12.85546875" style="136" bestFit="1" customWidth="1"/>
  </cols>
  <sheetData>
    <row r="1" spans="1:8" x14ac:dyDescent="0.2">
      <c r="A1" t="s">
        <v>174</v>
      </c>
      <c r="G1" s="172" t="s">
        <v>182</v>
      </c>
    </row>
    <row r="2" spans="1:8" x14ac:dyDescent="0.2">
      <c r="C2" s="136" t="s">
        <v>142</v>
      </c>
      <c r="D2" t="s">
        <v>143</v>
      </c>
      <c r="E2" t="s">
        <v>175</v>
      </c>
    </row>
    <row r="3" spans="1:8" x14ac:dyDescent="0.2">
      <c r="A3" t="s">
        <v>124</v>
      </c>
      <c r="C3" s="136">
        <f>+National!H23</f>
        <v>3872206.7062727571</v>
      </c>
      <c r="D3" s="168">
        <f>+D4+D5+D6+D7+D8+D9</f>
        <v>8153703.4399999995</v>
      </c>
      <c r="E3" s="167">
        <f>+C3-D3</f>
        <v>-4281496.7337272428</v>
      </c>
      <c r="F3" s="167"/>
      <c r="G3" s="172"/>
      <c r="H3" s="172"/>
    </row>
    <row r="4" spans="1:8" x14ac:dyDescent="0.2">
      <c r="A4" t="s">
        <v>176</v>
      </c>
      <c r="D4" s="169">
        <v>530962</v>
      </c>
      <c r="E4" s="167"/>
      <c r="F4" s="167"/>
      <c r="G4" s="136">
        <f>+D25</f>
        <v>530962</v>
      </c>
      <c r="H4" s="136">
        <f>+D4-G4</f>
        <v>0</v>
      </c>
    </row>
    <row r="5" spans="1:8" x14ac:dyDescent="0.2">
      <c r="A5" t="s">
        <v>177</v>
      </c>
      <c r="D5" s="169">
        <v>140792</v>
      </c>
      <c r="E5" s="167"/>
      <c r="F5" s="167"/>
      <c r="G5" s="136">
        <v>140792</v>
      </c>
      <c r="H5" s="136">
        <f t="shared" ref="H5:H13" si="0">+D5-G5</f>
        <v>0</v>
      </c>
    </row>
    <row r="6" spans="1:8" x14ac:dyDescent="0.2">
      <c r="A6" t="s">
        <v>179</v>
      </c>
      <c r="D6" s="169">
        <v>3124813</v>
      </c>
      <c r="E6" s="167"/>
      <c r="F6" s="167"/>
      <c r="G6" s="136">
        <f>+D40</f>
        <v>3124814</v>
      </c>
      <c r="H6" s="136">
        <f t="shared" si="0"/>
        <v>-1</v>
      </c>
    </row>
    <row r="7" spans="1:8" x14ac:dyDescent="0.2">
      <c r="A7" t="s">
        <v>178</v>
      </c>
      <c r="D7" s="171">
        <f>722228+121191+248125</f>
        <v>1091544</v>
      </c>
      <c r="E7" s="167"/>
      <c r="F7" s="167"/>
      <c r="G7" s="136">
        <f>+D30</f>
        <v>1091544</v>
      </c>
      <c r="H7" s="136">
        <f t="shared" si="0"/>
        <v>0</v>
      </c>
    </row>
    <row r="8" spans="1:8" x14ac:dyDescent="0.2">
      <c r="A8" t="s">
        <v>180</v>
      </c>
      <c r="D8" s="169">
        <f>2119135-21137.56</f>
        <v>2097997.44</v>
      </c>
      <c r="E8" s="167"/>
      <c r="F8" s="167"/>
      <c r="G8" s="136">
        <f>+D57</f>
        <v>2097997</v>
      </c>
      <c r="H8" s="136">
        <f t="shared" si="0"/>
        <v>0.43999999994412065</v>
      </c>
    </row>
    <row r="9" spans="1:8" x14ac:dyDescent="0.2">
      <c r="A9" t="s">
        <v>181</v>
      </c>
      <c r="D9" s="169">
        <v>1167595</v>
      </c>
      <c r="E9" s="167"/>
      <c r="F9" s="167"/>
      <c r="G9" s="136">
        <f>+D51</f>
        <v>1167595</v>
      </c>
      <c r="H9" s="136">
        <f t="shared" si="0"/>
        <v>0</v>
      </c>
    </row>
    <row r="10" spans="1:8" x14ac:dyDescent="0.2">
      <c r="A10" t="s">
        <v>48</v>
      </c>
      <c r="C10" s="136">
        <f>+Pohnpei!H23</f>
        <v>2448691.6685460163</v>
      </c>
      <c r="D10" s="168">
        <v>1588950</v>
      </c>
      <c r="E10" s="167">
        <f>+C10-D10</f>
        <v>859741.66854601633</v>
      </c>
      <c r="F10" s="167"/>
      <c r="G10" s="136">
        <v>1588950</v>
      </c>
      <c r="H10" s="136">
        <f t="shared" si="0"/>
        <v>0</v>
      </c>
    </row>
    <row r="11" spans="1:8" x14ac:dyDescent="0.2">
      <c r="A11" t="s">
        <v>49</v>
      </c>
      <c r="C11" s="136">
        <f>+chuuk!H23</f>
        <v>1044853.3131188905</v>
      </c>
      <c r="D11" s="170">
        <f>574822+772918+96625</f>
        <v>1444365</v>
      </c>
      <c r="E11" s="167">
        <f>+C11-D11</f>
        <v>-399511.68688110949</v>
      </c>
      <c r="G11" s="136">
        <v>1444365</v>
      </c>
      <c r="H11" s="136">
        <f t="shared" si="0"/>
        <v>0</v>
      </c>
    </row>
    <row r="12" spans="1:8" x14ac:dyDescent="0.2">
      <c r="A12" t="s">
        <v>50</v>
      </c>
      <c r="C12" s="136">
        <f>+Kosrae!H23</f>
        <v>799698.640714893</v>
      </c>
      <c r="D12" s="170">
        <v>817105</v>
      </c>
      <c r="E12" s="167">
        <f>+C12-D12</f>
        <v>-17406.359285106999</v>
      </c>
      <c r="G12" s="136">
        <v>817105</v>
      </c>
      <c r="H12" s="136">
        <f t="shared" si="0"/>
        <v>0</v>
      </c>
    </row>
    <row r="13" spans="1:8" x14ac:dyDescent="0.2">
      <c r="A13" t="s">
        <v>51</v>
      </c>
      <c r="C13" s="136">
        <f>+Yap!H23</f>
        <v>687719.1156099441</v>
      </c>
      <c r="D13" s="170">
        <v>745046</v>
      </c>
      <c r="E13" s="167">
        <f>+C13-D13</f>
        <v>-57326.8843900559</v>
      </c>
      <c r="G13" s="136">
        <v>745046</v>
      </c>
      <c r="H13" s="136">
        <f t="shared" si="0"/>
        <v>0</v>
      </c>
    </row>
    <row r="14" spans="1:8" ht="13.5" thickBot="1" x14ac:dyDescent="0.25">
      <c r="A14" t="s">
        <v>79</v>
      </c>
      <c r="C14" s="166">
        <f>SUM(C3:C13)</f>
        <v>8853169.4442625027</v>
      </c>
      <c r="D14" s="166">
        <f>SUM(D4:D13)</f>
        <v>12749169.439999999</v>
      </c>
      <c r="E14" s="166">
        <f t="shared" ref="E14" si="1">SUM(E3:E13)</f>
        <v>-3895999.9957374986</v>
      </c>
    </row>
    <row r="15" spans="1:8" x14ac:dyDescent="0.2">
      <c r="A15" s="39" t="s">
        <v>159</v>
      </c>
      <c r="C15" s="59">
        <v>96000</v>
      </c>
      <c r="E15" s="167">
        <f>+C15-D15</f>
        <v>96000</v>
      </c>
    </row>
    <row r="16" spans="1:8" x14ac:dyDescent="0.2">
      <c r="A16" s="39" t="s">
        <v>115</v>
      </c>
      <c r="C16" s="59">
        <v>1000000</v>
      </c>
      <c r="E16" s="167">
        <f>+C16-D16</f>
        <v>1000000</v>
      </c>
    </row>
    <row r="17" spans="1:5" x14ac:dyDescent="0.2">
      <c r="A17" s="39" t="s">
        <v>116</v>
      </c>
      <c r="C17" s="59">
        <v>2800000</v>
      </c>
      <c r="E17" s="167">
        <f>+C17-D17</f>
        <v>2800000</v>
      </c>
    </row>
    <row r="18" spans="1:5" ht="13.5" thickBot="1" x14ac:dyDescent="0.25">
      <c r="A18" t="s">
        <v>79</v>
      </c>
      <c r="C18" s="137">
        <f>SUM(C14:C17)</f>
        <v>12749169.444262503</v>
      </c>
      <c r="D18" s="137">
        <f t="shared" ref="D18:E18" si="2">SUM(D14:D17)</f>
        <v>12749169.439999999</v>
      </c>
      <c r="E18" s="137">
        <f t="shared" si="2"/>
        <v>4.2625013738870621E-3</v>
      </c>
    </row>
    <row r="19" spans="1:5" ht="13.5" thickTop="1" x14ac:dyDescent="0.2"/>
    <row r="24" spans="1:5" x14ac:dyDescent="0.2">
      <c r="A24" s="150" t="s">
        <v>47</v>
      </c>
      <c r="C24" s="136">
        <v>458799</v>
      </c>
    </row>
    <row r="25" spans="1:5" x14ac:dyDescent="0.2">
      <c r="A25" s="150" t="s">
        <v>183</v>
      </c>
      <c r="C25" s="136">
        <v>72163</v>
      </c>
      <c r="D25" s="167">
        <f>+C25+C24</f>
        <v>530962</v>
      </c>
    </row>
    <row r="28" spans="1:5" x14ac:dyDescent="0.2">
      <c r="A28" s="150" t="s">
        <v>53</v>
      </c>
      <c r="C28" s="136">
        <v>248125</v>
      </c>
    </row>
    <row r="29" spans="1:5" x14ac:dyDescent="0.2">
      <c r="A29" s="150" t="s">
        <v>42</v>
      </c>
      <c r="C29" s="136">
        <v>722228</v>
      </c>
    </row>
    <row r="30" spans="1:5" x14ac:dyDescent="0.2">
      <c r="A30" s="150" t="s">
        <v>19</v>
      </c>
      <c r="C30" s="136">
        <v>121191</v>
      </c>
      <c r="D30" s="167">
        <f>SUM(C28:C30)</f>
        <v>1091544</v>
      </c>
    </row>
    <row r="33" spans="1:4" x14ac:dyDescent="0.2">
      <c r="A33" s="150" t="s">
        <v>29</v>
      </c>
      <c r="C33" s="136">
        <f>-[2]Sheet1!$C$36</f>
        <v>767196</v>
      </c>
    </row>
    <row r="34" spans="1:4" x14ac:dyDescent="0.2">
      <c r="A34" s="150" t="s">
        <v>184</v>
      </c>
      <c r="C34" s="136">
        <f>-[3]Sheet1!$C$25</f>
        <v>244805</v>
      </c>
    </row>
    <row r="35" spans="1:4" x14ac:dyDescent="0.2">
      <c r="A35" s="150" t="s">
        <v>30</v>
      </c>
      <c r="C35" s="136">
        <f>-[4]Sheet1!$C$24</f>
        <v>296340</v>
      </c>
    </row>
    <row r="36" spans="1:4" x14ac:dyDescent="0.2">
      <c r="A36" s="150" t="s">
        <v>1</v>
      </c>
      <c r="C36" s="136">
        <f>-[5]Sheet1!$C$24</f>
        <v>298662</v>
      </c>
    </row>
    <row r="37" spans="1:4" x14ac:dyDescent="0.2">
      <c r="A37" s="150" t="s">
        <v>185</v>
      </c>
      <c r="C37" s="136">
        <f>-[6]Sheet1!$C$21</f>
        <v>629638</v>
      </c>
    </row>
    <row r="38" spans="1:4" x14ac:dyDescent="0.2">
      <c r="A38" s="150" t="s">
        <v>186</v>
      </c>
      <c r="C38" s="136">
        <f>-[7]Sheet1!$C$20</f>
        <v>396138</v>
      </c>
    </row>
    <row r="39" spans="1:4" x14ac:dyDescent="0.2">
      <c r="A39" s="150" t="s">
        <v>187</v>
      </c>
      <c r="C39" s="136">
        <f>-[8]Sheet1!$C$27</f>
        <v>187575</v>
      </c>
    </row>
    <row r="40" spans="1:4" x14ac:dyDescent="0.2">
      <c r="A40" s="150" t="s">
        <v>41</v>
      </c>
      <c r="C40" s="136">
        <f>-[9]Sheet1!$C$28</f>
        <v>304460</v>
      </c>
      <c r="D40" s="167">
        <f>SUM(C33:C40)</f>
        <v>3124814</v>
      </c>
    </row>
    <row r="44" spans="1:4" x14ac:dyDescent="0.2">
      <c r="A44" s="150" t="s">
        <v>84</v>
      </c>
      <c r="C44" s="136">
        <f>-[10]Sheet1!$C$29</f>
        <v>422995</v>
      </c>
    </row>
    <row r="45" spans="1:4" x14ac:dyDescent="0.2">
      <c r="A45" s="150" t="s">
        <v>188</v>
      </c>
      <c r="C45" s="136">
        <f>-[11]Sheet1!$C$20</f>
        <v>135599</v>
      </c>
    </row>
    <row r="46" spans="1:4" x14ac:dyDescent="0.2">
      <c r="A46" s="150" t="s">
        <v>44</v>
      </c>
      <c r="C46" s="136">
        <f>-[12]Sheet1!$C$23</f>
        <v>164183</v>
      </c>
    </row>
    <row r="47" spans="1:4" x14ac:dyDescent="0.2">
      <c r="A47" s="150" t="s">
        <v>189</v>
      </c>
      <c r="C47" s="136">
        <f>-[13]Sheet1!$C$18</f>
        <v>70334</v>
      </c>
    </row>
    <row r="48" spans="1:4" x14ac:dyDescent="0.2">
      <c r="A48" s="150" t="s">
        <v>2</v>
      </c>
      <c r="C48" s="136">
        <f>-[14]Sheet1!$C$22</f>
        <v>151676</v>
      </c>
    </row>
    <row r="49" spans="1:4" x14ac:dyDescent="0.2">
      <c r="A49" s="150" t="s">
        <v>85</v>
      </c>
      <c r="C49" s="136">
        <f>-[15]Sheet1!$C$15</f>
        <v>36003</v>
      </c>
    </row>
    <row r="50" spans="1:4" x14ac:dyDescent="0.2">
      <c r="A50" s="150" t="s">
        <v>4</v>
      </c>
      <c r="C50" s="136">
        <f>-[16]Sheet1!$C$21</f>
        <v>37374</v>
      </c>
    </row>
    <row r="51" spans="1:4" x14ac:dyDescent="0.2">
      <c r="A51" s="150" t="s">
        <v>190</v>
      </c>
      <c r="C51" s="136">
        <f>-[17]Sheet1!$C$19</f>
        <v>149431</v>
      </c>
      <c r="D51" s="167">
        <f>SUM(C44:C51)</f>
        <v>1167595</v>
      </c>
    </row>
    <row r="54" spans="1:4" x14ac:dyDescent="0.2">
      <c r="A54" t="s">
        <v>28</v>
      </c>
      <c r="C54" s="136">
        <f>-[18]Sheet1!$C$24</f>
        <v>198478</v>
      </c>
    </row>
    <row r="55" spans="1:4" x14ac:dyDescent="0.2">
      <c r="A55" t="s">
        <v>20</v>
      </c>
      <c r="C55" s="136">
        <f>-[19]Sheet1!$C$26</f>
        <v>205382</v>
      </c>
    </row>
    <row r="56" spans="1:4" x14ac:dyDescent="0.2">
      <c r="A56" t="s">
        <v>191</v>
      </c>
      <c r="C56" s="136">
        <f>-[20]Sheet1!$C$28</f>
        <v>376452</v>
      </c>
    </row>
    <row r="57" spans="1:4" x14ac:dyDescent="0.2">
      <c r="A57" t="s">
        <v>192</v>
      </c>
      <c r="C57" s="136">
        <f>-[21]Sheet1!$C$34</f>
        <v>1317685</v>
      </c>
      <c r="D57" s="167">
        <f>SUM(C54:C57)</f>
        <v>2097997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4" sqref="B4"/>
    </sheetView>
  </sheetViews>
  <sheetFormatPr defaultColWidth="9.140625" defaultRowHeight="15" x14ac:dyDescent="0.25"/>
  <cols>
    <col min="1" max="16384" width="9.140625" style="193"/>
  </cols>
  <sheetData>
    <row r="1" spans="1:13" x14ac:dyDescent="0.25">
      <c r="A1" s="193" t="s">
        <v>194</v>
      </c>
    </row>
    <row r="2" spans="1:13" x14ac:dyDescent="0.25">
      <c r="B2" s="332" t="s">
        <v>207</v>
      </c>
      <c r="C2" s="333"/>
      <c r="D2" s="333"/>
      <c r="E2" s="334"/>
      <c r="F2" s="332" t="s">
        <v>110</v>
      </c>
      <c r="G2" s="333"/>
      <c r="H2" s="333"/>
      <c r="I2" s="334"/>
      <c r="J2" s="332" t="s">
        <v>79</v>
      </c>
      <c r="K2" s="333"/>
      <c r="L2" s="333"/>
      <c r="M2" s="334"/>
    </row>
    <row r="3" spans="1:13" x14ac:dyDescent="0.25">
      <c r="A3" s="178" t="s">
        <v>120</v>
      </c>
      <c r="B3" s="194" t="s">
        <v>202</v>
      </c>
      <c r="C3" s="68" t="s">
        <v>203</v>
      </c>
      <c r="D3" s="68" t="s">
        <v>137</v>
      </c>
      <c r="E3" s="180" t="s">
        <v>79</v>
      </c>
      <c r="F3" s="194" t="s">
        <v>202</v>
      </c>
      <c r="G3" s="68" t="s">
        <v>203</v>
      </c>
      <c r="H3" s="68" t="s">
        <v>137</v>
      </c>
      <c r="I3" s="180" t="s">
        <v>79</v>
      </c>
      <c r="J3" s="194" t="s">
        <v>202</v>
      </c>
      <c r="K3" s="68" t="s">
        <v>203</v>
      </c>
      <c r="L3" s="68" t="s">
        <v>137</v>
      </c>
      <c r="M3" s="180" t="s">
        <v>79</v>
      </c>
    </row>
    <row r="4" spans="1:13" x14ac:dyDescent="0.25">
      <c r="A4" s="182" t="s">
        <v>124</v>
      </c>
      <c r="B4" s="195">
        <v>10981</v>
      </c>
      <c r="C4" s="183">
        <v>9973</v>
      </c>
      <c r="D4" s="183">
        <v>228</v>
      </c>
      <c r="E4" s="191">
        <f>SUM(B4:D4)</f>
        <v>21182</v>
      </c>
      <c r="F4" s="195">
        <v>879</v>
      </c>
      <c r="G4" s="183">
        <v>967</v>
      </c>
      <c r="H4" s="183">
        <v>2409</v>
      </c>
      <c r="I4" s="191">
        <f>SUM(F4:H4)</f>
        <v>4255</v>
      </c>
      <c r="J4" s="195">
        <f>+B4+F4</f>
        <v>11860</v>
      </c>
      <c r="K4" s="195">
        <f t="shared" ref="K4:L8" si="0">+C4+G4</f>
        <v>10940</v>
      </c>
      <c r="L4" s="195">
        <f t="shared" si="0"/>
        <v>2637</v>
      </c>
      <c r="M4" s="191">
        <f>SUM(J4:L4)</f>
        <v>25437</v>
      </c>
    </row>
    <row r="5" spans="1:13" x14ac:dyDescent="0.25">
      <c r="A5" s="182" t="s">
        <v>48</v>
      </c>
      <c r="B5" s="195">
        <v>4447.5</v>
      </c>
      <c r="C5" s="183">
        <v>2671</v>
      </c>
      <c r="D5" s="183">
        <v>0</v>
      </c>
      <c r="E5" s="191">
        <f t="shared" ref="E5:E8" si="1">SUM(B5:D5)</f>
        <v>7118.5</v>
      </c>
      <c r="F5" s="195">
        <v>2010.5</v>
      </c>
      <c r="G5" s="183">
        <v>2036</v>
      </c>
      <c r="H5" s="183">
        <v>1076</v>
      </c>
      <c r="I5" s="191">
        <f t="shared" ref="I5:I8" si="2">SUM(F5:H5)</f>
        <v>5122.5</v>
      </c>
      <c r="J5" s="195">
        <f t="shared" ref="J5:J8" si="3">+B5+F5</f>
        <v>6458</v>
      </c>
      <c r="K5" s="195">
        <f t="shared" si="0"/>
        <v>4707</v>
      </c>
      <c r="L5" s="195">
        <f t="shared" si="0"/>
        <v>1076</v>
      </c>
      <c r="M5" s="191">
        <f t="shared" ref="M5:M8" si="4">SUM(J5:L5)</f>
        <v>12241</v>
      </c>
    </row>
    <row r="6" spans="1:13" x14ac:dyDescent="0.25">
      <c r="A6" s="182" t="s">
        <v>49</v>
      </c>
      <c r="B6" s="195">
        <v>2154</v>
      </c>
      <c r="C6" s="183">
        <v>1747</v>
      </c>
      <c r="D6" s="183">
        <v>0</v>
      </c>
      <c r="E6" s="191">
        <f t="shared" si="1"/>
        <v>3901</v>
      </c>
      <c r="F6" s="195">
        <v>726</v>
      </c>
      <c r="G6" s="183">
        <v>500</v>
      </c>
      <c r="H6" s="183">
        <v>620</v>
      </c>
      <c r="I6" s="191">
        <f t="shared" si="2"/>
        <v>1846</v>
      </c>
      <c r="J6" s="195">
        <f t="shared" si="3"/>
        <v>2880</v>
      </c>
      <c r="K6" s="195">
        <f t="shared" si="0"/>
        <v>2247</v>
      </c>
      <c r="L6" s="195">
        <f t="shared" si="0"/>
        <v>620</v>
      </c>
      <c r="M6" s="191">
        <f t="shared" si="4"/>
        <v>5747</v>
      </c>
    </row>
    <row r="7" spans="1:13" x14ac:dyDescent="0.25">
      <c r="A7" s="182" t="s">
        <v>50</v>
      </c>
      <c r="B7" s="195">
        <v>866</v>
      </c>
      <c r="C7" s="183">
        <v>854</v>
      </c>
      <c r="D7" s="183">
        <v>0</v>
      </c>
      <c r="E7" s="191">
        <f t="shared" si="1"/>
        <v>1720</v>
      </c>
      <c r="F7" s="195">
        <v>791</v>
      </c>
      <c r="G7" s="183">
        <v>649</v>
      </c>
      <c r="H7" s="183">
        <v>491</v>
      </c>
      <c r="I7" s="191">
        <f t="shared" si="2"/>
        <v>1931</v>
      </c>
      <c r="J7" s="195">
        <f t="shared" si="3"/>
        <v>1657</v>
      </c>
      <c r="K7" s="195">
        <f t="shared" si="0"/>
        <v>1503</v>
      </c>
      <c r="L7" s="195">
        <f t="shared" si="0"/>
        <v>491</v>
      </c>
      <c r="M7" s="191">
        <f t="shared" si="4"/>
        <v>3651</v>
      </c>
    </row>
    <row r="8" spans="1:13" x14ac:dyDescent="0.25">
      <c r="A8" s="182" t="s">
        <v>51</v>
      </c>
      <c r="B8" s="195">
        <v>1255</v>
      </c>
      <c r="C8" s="183">
        <v>1121</v>
      </c>
      <c r="D8" s="183">
        <v>0</v>
      </c>
      <c r="E8" s="191">
        <f t="shared" si="1"/>
        <v>2376</v>
      </c>
      <c r="F8" s="195">
        <v>434</v>
      </c>
      <c r="G8" s="183">
        <v>522</v>
      </c>
      <c r="H8" s="183">
        <v>515</v>
      </c>
      <c r="I8" s="191">
        <f t="shared" si="2"/>
        <v>1471</v>
      </c>
      <c r="J8" s="195">
        <f t="shared" si="3"/>
        <v>1689</v>
      </c>
      <c r="K8" s="195">
        <f t="shared" si="0"/>
        <v>1643</v>
      </c>
      <c r="L8" s="195">
        <f t="shared" si="0"/>
        <v>515</v>
      </c>
      <c r="M8" s="191">
        <f t="shared" si="4"/>
        <v>3847</v>
      </c>
    </row>
    <row r="9" spans="1:13" x14ac:dyDescent="0.25">
      <c r="A9" s="186" t="s">
        <v>79</v>
      </c>
      <c r="B9" s="196">
        <f>SUM(B4:B8)</f>
        <v>19703.5</v>
      </c>
      <c r="C9" s="74">
        <f t="shared" ref="C9:E9" si="5">SUM(C4:C8)</f>
        <v>16366</v>
      </c>
      <c r="D9" s="74">
        <f t="shared" si="5"/>
        <v>228</v>
      </c>
      <c r="E9" s="192">
        <f t="shared" si="5"/>
        <v>36297.5</v>
      </c>
      <c r="F9" s="196">
        <f>SUM(F4:F8)</f>
        <v>4840.5</v>
      </c>
      <c r="G9" s="74">
        <f t="shared" ref="G9:I9" si="6">SUM(G4:G8)</f>
        <v>4674</v>
      </c>
      <c r="H9" s="74">
        <f t="shared" si="6"/>
        <v>5111</v>
      </c>
      <c r="I9" s="192">
        <f t="shared" si="6"/>
        <v>14625.5</v>
      </c>
      <c r="J9" s="196">
        <f>SUM(J4:J8)</f>
        <v>24544</v>
      </c>
      <c r="K9" s="74">
        <f t="shared" ref="K9:M9" si="7">SUM(K4:K8)</f>
        <v>21040</v>
      </c>
      <c r="L9" s="74">
        <f t="shared" si="7"/>
        <v>5339</v>
      </c>
      <c r="M9" s="192">
        <f t="shared" si="7"/>
        <v>50923</v>
      </c>
    </row>
    <row r="11" spans="1:13" x14ac:dyDescent="0.25">
      <c r="A11" s="193" t="s">
        <v>210</v>
      </c>
    </row>
    <row r="12" spans="1:13" x14ac:dyDescent="0.25">
      <c r="B12" s="332" t="s">
        <v>207</v>
      </c>
      <c r="C12" s="333"/>
      <c r="D12" s="333"/>
      <c r="E12" s="334"/>
      <c r="F12" s="332" t="s">
        <v>110</v>
      </c>
      <c r="G12" s="333"/>
      <c r="H12" s="333"/>
      <c r="I12" s="334"/>
      <c r="J12" s="332" t="s">
        <v>79</v>
      </c>
      <c r="K12" s="333"/>
      <c r="L12" s="333"/>
      <c r="M12" s="334"/>
    </row>
    <row r="13" spans="1:13" x14ac:dyDescent="0.25">
      <c r="A13" s="178" t="s">
        <v>120</v>
      </c>
      <c r="B13" s="194" t="s">
        <v>202</v>
      </c>
      <c r="C13" s="68" t="s">
        <v>203</v>
      </c>
      <c r="D13" s="68" t="s">
        <v>137</v>
      </c>
      <c r="E13" s="180" t="s">
        <v>79</v>
      </c>
      <c r="F13" s="194" t="s">
        <v>202</v>
      </c>
      <c r="G13" s="68" t="s">
        <v>203</v>
      </c>
      <c r="H13" s="68" t="s">
        <v>137</v>
      </c>
      <c r="I13" s="180" t="s">
        <v>79</v>
      </c>
      <c r="J13" s="194" t="s">
        <v>202</v>
      </c>
      <c r="K13" s="68" t="s">
        <v>203</v>
      </c>
      <c r="L13" s="68" t="s">
        <v>137</v>
      </c>
      <c r="M13" s="180" t="s">
        <v>79</v>
      </c>
    </row>
    <row r="14" spans="1:13" x14ac:dyDescent="0.25">
      <c r="A14" s="182" t="s">
        <v>124</v>
      </c>
      <c r="B14" s="195">
        <f>'[22]Rev(5%)'!C57</f>
        <v>13166.089376053962</v>
      </c>
      <c r="C14" s="195">
        <f>+'[22]Rev(5%)'!D57</f>
        <v>12101.606489945154</v>
      </c>
      <c r="D14" s="195">
        <f>+'[22]Rev(5%)'!E57</f>
        <v>444.06825938566556</v>
      </c>
      <c r="E14" s="191">
        <f>SUM(B14:D14)</f>
        <v>25711.76412538478</v>
      </c>
      <c r="F14" s="183">
        <f>+'[22]Rev(5%)'!K57</f>
        <v>618.29423271500866</v>
      </c>
      <c r="G14" s="183">
        <f>+'[22]Rev(5%)'!L57</f>
        <v>671.18108775137148</v>
      </c>
      <c r="H14" s="183">
        <f>+'[22]Rev(5%)'!M57</f>
        <v>2322.5062116040958</v>
      </c>
      <c r="I14" s="191">
        <f>SUM(F14:H14)</f>
        <v>3611.9815320704761</v>
      </c>
      <c r="J14" s="195">
        <f>+B14+F14</f>
        <v>13784.383608768971</v>
      </c>
      <c r="K14" s="195">
        <f t="shared" ref="K14:L18" si="8">+C14+G14</f>
        <v>12772.787577696525</v>
      </c>
      <c r="L14" s="195">
        <f t="shared" si="8"/>
        <v>2766.5744709897613</v>
      </c>
      <c r="M14" s="191">
        <f>SUM(J14:L14)</f>
        <v>29323.745657455256</v>
      </c>
    </row>
    <row r="15" spans="1:13" x14ac:dyDescent="0.25">
      <c r="A15" s="182" t="s">
        <v>48</v>
      </c>
      <c r="B15" s="195">
        <f>+'[22]Rev(5%)'!C58</f>
        <v>6631.9951997522458</v>
      </c>
      <c r="C15" s="195">
        <f>+'[22]Rev(5%)'!D58</f>
        <v>4621.9024856596561</v>
      </c>
      <c r="D15" s="195">
        <f>+'[22]Rev(5%)'!E58</f>
        <v>1506</v>
      </c>
      <c r="E15" s="191">
        <f t="shared" ref="E15:E18" si="9">SUM(B15:D15)</f>
        <v>12759.897685411903</v>
      </c>
      <c r="F15" s="183">
        <f>+'[22]Rev(5%)'!K58</f>
        <v>1714.8587457417154</v>
      </c>
      <c r="G15" s="183">
        <f>+'[22]Rev(5%)'!L58</f>
        <v>1886.0315360101979</v>
      </c>
      <c r="H15" s="183">
        <f>+'[22]Rev(5%)'!M58</f>
        <v>1380.5</v>
      </c>
      <c r="I15" s="191">
        <f t="shared" ref="I15:I18" si="10">SUM(F15:H15)</f>
        <v>4981.3902817519138</v>
      </c>
      <c r="J15" s="195">
        <f t="shared" ref="J15:J18" si="11">+B15+F15</f>
        <v>8346.8539454939619</v>
      </c>
      <c r="K15" s="195">
        <f t="shared" si="8"/>
        <v>6507.9340216698538</v>
      </c>
      <c r="L15" s="195">
        <f t="shared" si="8"/>
        <v>2886.5</v>
      </c>
      <c r="M15" s="191">
        <f t="shared" ref="M15:M18" si="12">SUM(J15:L15)</f>
        <v>17741.287967163815</v>
      </c>
    </row>
    <row r="16" spans="1:13" x14ac:dyDescent="0.25">
      <c r="A16" s="182" t="s">
        <v>49</v>
      </c>
      <c r="B16" s="195">
        <f>+'[22]Rev(5%)'!C59</f>
        <v>2793.46875</v>
      </c>
      <c r="C16" s="195">
        <f>+'[22]Rev(5%)'!D59</f>
        <v>2705.6341789052067</v>
      </c>
      <c r="D16" s="195">
        <v>0</v>
      </c>
      <c r="E16" s="191">
        <f t="shared" si="9"/>
        <v>5499.1029289052067</v>
      </c>
      <c r="F16" s="183">
        <f>+'[22]Rev(5%)'!K59</f>
        <v>566.174125</v>
      </c>
      <c r="G16" s="183">
        <f>+'[22]Rev(5%)'!L59</f>
        <v>442.9372496662217</v>
      </c>
      <c r="H16" s="183">
        <f>+'[22]Rev(5%)'!M59</f>
        <v>754.38000000000011</v>
      </c>
      <c r="I16" s="191">
        <f t="shared" si="10"/>
        <v>1763.4913746662219</v>
      </c>
      <c r="J16" s="195">
        <f t="shared" si="11"/>
        <v>3359.642875</v>
      </c>
      <c r="K16" s="195">
        <f t="shared" si="8"/>
        <v>3148.5714285714284</v>
      </c>
      <c r="L16" s="195">
        <f t="shared" si="8"/>
        <v>754.38000000000011</v>
      </c>
      <c r="M16" s="191">
        <f t="shared" si="12"/>
        <v>7262.594303571429</v>
      </c>
    </row>
    <row r="17" spans="1:13" x14ac:dyDescent="0.25">
      <c r="A17" s="182" t="s">
        <v>50</v>
      </c>
      <c r="B17" s="195">
        <f>+'[22]Rev(5%)'!C60</f>
        <v>1607.0911285455643</v>
      </c>
      <c r="C17" s="195">
        <f>+'[22]Rev(5%)'!D60</f>
        <v>1517.0858283433136</v>
      </c>
      <c r="D17" s="195">
        <v>0</v>
      </c>
      <c r="E17" s="191">
        <f t="shared" si="9"/>
        <v>3124.1769568888776</v>
      </c>
      <c r="F17" s="183">
        <f>+'[22]Rev(5%)'!K60</f>
        <v>839.64387447193724</v>
      </c>
      <c r="G17" s="183">
        <f>+'[22]Rev(5%)'!L60</f>
        <v>608.73868263473059</v>
      </c>
      <c r="H17" s="183">
        <f>+'[22]Rev(5%)'!M60</f>
        <v>709.28000000000009</v>
      </c>
      <c r="I17" s="191">
        <f t="shared" si="10"/>
        <v>2157.6625571066679</v>
      </c>
      <c r="J17" s="195">
        <f t="shared" si="11"/>
        <v>2446.7350030175016</v>
      </c>
      <c r="K17" s="195">
        <f t="shared" si="8"/>
        <v>2125.8245109780441</v>
      </c>
      <c r="L17" s="195">
        <f t="shared" si="8"/>
        <v>709.28000000000009</v>
      </c>
      <c r="M17" s="191">
        <f t="shared" si="12"/>
        <v>5281.8395139955455</v>
      </c>
    </row>
    <row r="18" spans="1:13" x14ac:dyDescent="0.25">
      <c r="A18" s="182" t="s">
        <v>51</v>
      </c>
      <c r="B18" s="195">
        <f>+'[22]Rev(5%)'!C61</f>
        <v>1961.6341030195381</v>
      </c>
      <c r="C18" s="195">
        <f>+'[22]Rev(5%)'!D61</f>
        <v>1821.7102860620817</v>
      </c>
      <c r="D18" s="195">
        <v>0</v>
      </c>
      <c r="E18" s="191">
        <f t="shared" si="9"/>
        <v>3783.3443890816197</v>
      </c>
      <c r="F18" s="183">
        <f>+'[22]Rev(5%)'!K61</f>
        <v>338.27846062759033</v>
      </c>
      <c r="G18" s="183">
        <f>+'[22]Rev(5%)'!L61</f>
        <v>435.45538648813147</v>
      </c>
      <c r="H18" s="183">
        <f>+'[22]Rev(5%)'!M61</f>
        <v>528.66000000000008</v>
      </c>
      <c r="I18" s="191">
        <f t="shared" si="10"/>
        <v>1302.3938471157219</v>
      </c>
      <c r="J18" s="195">
        <f t="shared" si="11"/>
        <v>2299.9125636471285</v>
      </c>
      <c r="K18" s="195">
        <f t="shared" si="8"/>
        <v>2257.165672550213</v>
      </c>
      <c r="L18" s="195">
        <f t="shared" si="8"/>
        <v>528.66000000000008</v>
      </c>
      <c r="M18" s="191">
        <f t="shared" si="12"/>
        <v>5085.7382361973414</v>
      </c>
    </row>
    <row r="19" spans="1:13" x14ac:dyDescent="0.25">
      <c r="A19" s="186" t="s">
        <v>79</v>
      </c>
      <c r="B19" s="196">
        <f>SUM(B14:B18)</f>
        <v>26160.278557371312</v>
      </c>
      <c r="C19" s="74">
        <f t="shared" ref="C19:E19" si="13">SUM(C14:C18)</f>
        <v>22767.939268915412</v>
      </c>
      <c r="D19" s="74">
        <f t="shared" si="13"/>
        <v>1950.0682593856654</v>
      </c>
      <c r="E19" s="192">
        <f t="shared" si="13"/>
        <v>50878.286085672386</v>
      </c>
      <c r="F19" s="196">
        <f>SUM(F14:F18)</f>
        <v>4077.2494385562518</v>
      </c>
      <c r="G19" s="74">
        <f t="shared" ref="G19:I19" si="14">SUM(G14:G18)</f>
        <v>4044.3439425506531</v>
      </c>
      <c r="H19" s="74">
        <f t="shared" si="14"/>
        <v>5695.326211604096</v>
      </c>
      <c r="I19" s="192">
        <f t="shared" si="14"/>
        <v>13816.919592711003</v>
      </c>
      <c r="J19" s="196">
        <f>SUM(J14:J18)</f>
        <v>30237.527995927561</v>
      </c>
      <c r="K19" s="74">
        <f t="shared" ref="K19:M19" si="15">SUM(K14:K18)</f>
        <v>26812.283211466063</v>
      </c>
      <c r="L19" s="74">
        <f t="shared" si="15"/>
        <v>7645.3944709897605</v>
      </c>
      <c r="M19" s="192">
        <f t="shared" si="15"/>
        <v>64695.20567838339</v>
      </c>
    </row>
    <row r="21" spans="1:13" x14ac:dyDescent="0.25">
      <c r="A21" s="193" t="s">
        <v>95</v>
      </c>
    </row>
    <row r="22" spans="1:13" x14ac:dyDescent="0.25">
      <c r="B22" s="332" t="s">
        <v>207</v>
      </c>
      <c r="C22" s="333"/>
      <c r="D22" s="333"/>
      <c r="E22" s="334"/>
      <c r="F22" s="332" t="s">
        <v>110</v>
      </c>
      <c r="G22" s="333"/>
      <c r="H22" s="333"/>
      <c r="I22" s="334"/>
      <c r="J22" s="332" t="s">
        <v>79</v>
      </c>
      <c r="K22" s="333"/>
      <c r="L22" s="333"/>
      <c r="M22" s="334"/>
    </row>
    <row r="23" spans="1:13" x14ac:dyDescent="0.25">
      <c r="A23" s="178" t="s">
        <v>120</v>
      </c>
      <c r="B23" s="194" t="s">
        <v>202</v>
      </c>
      <c r="C23" s="68" t="s">
        <v>203</v>
      </c>
      <c r="D23" s="68" t="s">
        <v>137</v>
      </c>
      <c r="E23" s="180" t="s">
        <v>79</v>
      </c>
      <c r="F23" s="194" t="s">
        <v>202</v>
      </c>
      <c r="G23" s="68" t="s">
        <v>203</v>
      </c>
      <c r="H23" s="68" t="s">
        <v>137</v>
      </c>
      <c r="I23" s="180" t="s">
        <v>79</v>
      </c>
      <c r="J23" s="194" t="s">
        <v>202</v>
      </c>
      <c r="K23" s="68" t="s">
        <v>203</v>
      </c>
      <c r="L23" s="68" t="s">
        <v>137</v>
      </c>
      <c r="M23" s="180" t="s">
        <v>79</v>
      </c>
    </row>
    <row r="24" spans="1:13" x14ac:dyDescent="0.25">
      <c r="A24" s="182" t="s">
        <v>124</v>
      </c>
      <c r="B24" s="195">
        <f>+B14-B4</f>
        <v>2185.089376053962</v>
      </c>
      <c r="C24" s="195">
        <f t="shared" ref="C24:D24" si="16">+C14-C4</f>
        <v>2128.606489945154</v>
      </c>
      <c r="D24" s="195">
        <f t="shared" si="16"/>
        <v>216.06825938566556</v>
      </c>
      <c r="E24" s="191">
        <f>SUM(B24:D24)</f>
        <v>4529.7641253847814</v>
      </c>
      <c r="F24" s="195">
        <f>+F14-F4</f>
        <v>-260.70576728499134</v>
      </c>
      <c r="G24" s="195">
        <f t="shared" ref="G24:H24" si="17">+G14-G4</f>
        <v>-295.81891224862852</v>
      </c>
      <c r="H24" s="195">
        <f t="shared" si="17"/>
        <v>-86.493788395904176</v>
      </c>
      <c r="I24" s="191">
        <f>SUM(F24:H24)</f>
        <v>-643.01846792952404</v>
      </c>
      <c r="J24" s="195">
        <f>+B24+F24</f>
        <v>1924.3836087689706</v>
      </c>
      <c r="K24" s="195">
        <f t="shared" ref="K24:L28" si="18">+C24+G24</f>
        <v>1832.7875776965254</v>
      </c>
      <c r="L24" s="195">
        <f t="shared" si="18"/>
        <v>129.57447098976138</v>
      </c>
      <c r="M24" s="191">
        <f>SUM(J24:L24)</f>
        <v>3886.7456574552575</v>
      </c>
    </row>
    <row r="25" spans="1:13" x14ac:dyDescent="0.25">
      <c r="A25" s="182" t="s">
        <v>48</v>
      </c>
      <c r="B25" s="195">
        <f t="shared" ref="B25:D28" si="19">+B15-B5</f>
        <v>2184.4951997522458</v>
      </c>
      <c r="C25" s="195">
        <f t="shared" si="19"/>
        <v>1950.9024856596561</v>
      </c>
      <c r="D25" s="195">
        <f t="shared" si="19"/>
        <v>1506</v>
      </c>
      <c r="E25" s="191">
        <f t="shared" ref="E25:E28" si="20">SUM(B25:D25)</f>
        <v>5641.3976854119019</v>
      </c>
      <c r="F25" s="195">
        <f t="shared" ref="F25:H28" si="21">+F15-F5</f>
        <v>-295.64125425828456</v>
      </c>
      <c r="G25" s="195">
        <f t="shared" si="21"/>
        <v>-149.9684639898021</v>
      </c>
      <c r="H25" s="195">
        <f t="shared" si="21"/>
        <v>304.5</v>
      </c>
      <c r="I25" s="191">
        <f t="shared" ref="I25:I28" si="22">SUM(F25:H25)</f>
        <v>-141.10971824808666</v>
      </c>
      <c r="J25" s="195">
        <f t="shared" ref="J25:J28" si="23">+B25+F25</f>
        <v>1888.8539454939612</v>
      </c>
      <c r="K25" s="195">
        <f t="shared" si="18"/>
        <v>1800.934021669854</v>
      </c>
      <c r="L25" s="195">
        <f t="shared" si="18"/>
        <v>1810.5</v>
      </c>
      <c r="M25" s="191">
        <f t="shared" ref="M25:M28" si="24">SUM(J25:L25)</f>
        <v>5500.2879671638148</v>
      </c>
    </row>
    <row r="26" spans="1:13" x14ac:dyDescent="0.25">
      <c r="A26" s="182" t="s">
        <v>49</v>
      </c>
      <c r="B26" s="195">
        <f t="shared" si="19"/>
        <v>639.46875</v>
      </c>
      <c r="C26" s="195">
        <f t="shared" si="19"/>
        <v>958.63417890520668</v>
      </c>
      <c r="D26" s="195">
        <f t="shared" si="19"/>
        <v>0</v>
      </c>
      <c r="E26" s="191">
        <f t="shared" si="20"/>
        <v>1598.1029289052067</v>
      </c>
      <c r="F26" s="195">
        <f t="shared" si="21"/>
        <v>-159.825875</v>
      </c>
      <c r="G26" s="195">
        <f t="shared" si="21"/>
        <v>-57.062750333778297</v>
      </c>
      <c r="H26" s="195">
        <f t="shared" si="21"/>
        <v>134.38000000000011</v>
      </c>
      <c r="I26" s="191">
        <f t="shared" si="22"/>
        <v>-82.508625333778184</v>
      </c>
      <c r="J26" s="195">
        <f t="shared" si="23"/>
        <v>479.642875</v>
      </c>
      <c r="K26" s="195">
        <f t="shared" si="18"/>
        <v>901.57142857142844</v>
      </c>
      <c r="L26" s="195">
        <f t="shared" si="18"/>
        <v>134.38000000000011</v>
      </c>
      <c r="M26" s="191">
        <f t="shared" si="24"/>
        <v>1515.5943035714286</v>
      </c>
    </row>
    <row r="27" spans="1:13" x14ac:dyDescent="0.25">
      <c r="A27" s="182" t="s">
        <v>50</v>
      </c>
      <c r="B27" s="195">
        <f t="shared" si="19"/>
        <v>741.09112854556429</v>
      </c>
      <c r="C27" s="195">
        <f t="shared" si="19"/>
        <v>663.08582834331355</v>
      </c>
      <c r="D27" s="195">
        <f t="shared" si="19"/>
        <v>0</v>
      </c>
      <c r="E27" s="191">
        <f t="shared" si="20"/>
        <v>1404.1769568888778</v>
      </c>
      <c r="F27" s="195">
        <f t="shared" si="21"/>
        <v>48.643874471937238</v>
      </c>
      <c r="G27" s="195">
        <f t="shared" si="21"/>
        <v>-40.261317365269406</v>
      </c>
      <c r="H27" s="195">
        <f t="shared" si="21"/>
        <v>218.28000000000009</v>
      </c>
      <c r="I27" s="191">
        <f t="shared" si="22"/>
        <v>226.66255710666792</v>
      </c>
      <c r="J27" s="195">
        <f t="shared" si="23"/>
        <v>789.73500301750153</v>
      </c>
      <c r="K27" s="195">
        <f t="shared" si="18"/>
        <v>622.82451097804415</v>
      </c>
      <c r="L27" s="195">
        <f t="shared" si="18"/>
        <v>218.28000000000009</v>
      </c>
      <c r="M27" s="191">
        <f t="shared" si="24"/>
        <v>1630.839513995546</v>
      </c>
    </row>
    <row r="28" spans="1:13" x14ac:dyDescent="0.25">
      <c r="A28" s="182" t="s">
        <v>51</v>
      </c>
      <c r="B28" s="195">
        <f t="shared" si="19"/>
        <v>706.63410301953809</v>
      </c>
      <c r="C28" s="195">
        <f t="shared" si="19"/>
        <v>700.71028606208165</v>
      </c>
      <c r="D28" s="195">
        <f t="shared" si="19"/>
        <v>0</v>
      </c>
      <c r="E28" s="191">
        <f t="shared" si="20"/>
        <v>1407.3443890816197</v>
      </c>
      <c r="F28" s="195">
        <f t="shared" si="21"/>
        <v>-95.721539372409666</v>
      </c>
      <c r="G28" s="195">
        <f t="shared" si="21"/>
        <v>-86.544613511868533</v>
      </c>
      <c r="H28" s="195">
        <f t="shared" si="21"/>
        <v>13.660000000000082</v>
      </c>
      <c r="I28" s="191">
        <f t="shared" si="22"/>
        <v>-168.60615288427812</v>
      </c>
      <c r="J28" s="195">
        <f t="shared" si="23"/>
        <v>610.91256364712842</v>
      </c>
      <c r="K28" s="195">
        <f t="shared" si="18"/>
        <v>614.16567255021312</v>
      </c>
      <c r="L28" s="195">
        <f t="shared" si="18"/>
        <v>13.660000000000082</v>
      </c>
      <c r="M28" s="191">
        <f t="shared" si="24"/>
        <v>1238.7382361973416</v>
      </c>
    </row>
    <row r="29" spans="1:13" x14ac:dyDescent="0.25">
      <c r="A29" s="186" t="s">
        <v>79</v>
      </c>
      <c r="B29" s="196">
        <f>SUM(B24:B28)</f>
        <v>6456.7785573713099</v>
      </c>
      <c r="C29" s="74">
        <f t="shared" ref="C29:E29" si="25">SUM(C24:C28)</f>
        <v>6401.939268915412</v>
      </c>
      <c r="D29" s="74">
        <f t="shared" si="25"/>
        <v>1722.0682593856654</v>
      </c>
      <c r="E29" s="192">
        <f t="shared" si="25"/>
        <v>14580.786085672386</v>
      </c>
      <c r="F29" s="196">
        <f>SUM(F24:F28)</f>
        <v>-763.25056144374832</v>
      </c>
      <c r="G29" s="74">
        <f t="shared" ref="G29:I29" si="26">SUM(G24:G28)</f>
        <v>-629.6560574493468</v>
      </c>
      <c r="H29" s="74">
        <f t="shared" si="26"/>
        <v>584.3262116040961</v>
      </c>
      <c r="I29" s="192">
        <f t="shared" si="26"/>
        <v>-808.58040728899914</v>
      </c>
      <c r="J29" s="196">
        <f>SUM(J24:J28)</f>
        <v>5693.5279959275613</v>
      </c>
      <c r="K29" s="74">
        <f t="shared" ref="K29:M29" si="27">SUM(K24:K28)</f>
        <v>5772.2832114660659</v>
      </c>
      <c r="L29" s="74">
        <f t="shared" si="27"/>
        <v>2306.3944709897614</v>
      </c>
      <c r="M29" s="192">
        <f t="shared" si="27"/>
        <v>13772.205678383389</v>
      </c>
    </row>
    <row r="30" spans="1:13" x14ac:dyDescent="0.25">
      <c r="B30" s="195"/>
      <c r="J30" s="195"/>
    </row>
    <row r="31" spans="1:13" x14ac:dyDescent="0.25">
      <c r="B31" s="197"/>
      <c r="E31" s="198"/>
    </row>
  </sheetData>
  <mergeCells count="9">
    <mergeCell ref="B22:E22"/>
    <mergeCell ref="F22:I22"/>
    <mergeCell ref="J22:M22"/>
    <mergeCell ref="B2:E2"/>
    <mergeCell ref="F2:I2"/>
    <mergeCell ref="J2:M2"/>
    <mergeCell ref="B12:E12"/>
    <mergeCell ref="F12:I12"/>
    <mergeCell ref="J12:M12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</vt:i4>
      </vt:variant>
    </vt:vector>
  </HeadingPairs>
  <TitlesOfParts>
    <vt:vector size="26" baseType="lpstr">
      <vt:lpstr>National</vt:lpstr>
      <vt:lpstr>Pohnpei</vt:lpstr>
      <vt:lpstr>chuuk</vt:lpstr>
      <vt:lpstr>Yap</vt:lpstr>
      <vt:lpstr>Campus</vt:lpstr>
      <vt:lpstr>Summary</vt:lpstr>
      <vt:lpstr>Proj Rev </vt:lpstr>
      <vt:lpstr>Per Campus</vt:lpstr>
      <vt:lpstr>Credit projection</vt:lpstr>
      <vt:lpstr>Revenue Projection</vt:lpstr>
      <vt:lpstr>Proj Rev (2022) -6yr average </vt:lpstr>
      <vt:lpstr>Proj Rev (2022) -6yr(12-12-6) </vt:lpstr>
      <vt:lpstr>2022</vt:lpstr>
      <vt:lpstr>Adjustment 2022</vt:lpstr>
      <vt:lpstr>Adjustment</vt:lpstr>
      <vt:lpstr>Adjustment (4% increase)</vt:lpstr>
      <vt:lpstr>Adjustment (3% increase)</vt:lpstr>
      <vt:lpstr>Sheet1</vt:lpstr>
      <vt:lpstr>Kosrae</vt:lpstr>
      <vt:lpstr>exp line dept (2015-2017)</vt:lpstr>
      <vt:lpstr>exp line dept(2016)</vt:lpstr>
      <vt:lpstr>exp_line office</vt:lpstr>
      <vt:lpstr>Summer Rev &amp; Exp</vt:lpstr>
      <vt:lpstr>'2022'!Print_Area</vt:lpstr>
      <vt:lpstr>Summary!Print_Area</vt:lpstr>
      <vt:lpstr>'Revenue Projection'!Print_Titles</vt:lpstr>
    </vt:vector>
  </TitlesOfParts>
  <Company>College Of Micronesia-FSM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Maridell Edwin</cp:lastModifiedBy>
  <cp:lastPrinted>2020-11-05T23:17:13Z</cp:lastPrinted>
  <dcterms:created xsi:type="dcterms:W3CDTF">2007-01-10T04:58:50Z</dcterms:created>
  <dcterms:modified xsi:type="dcterms:W3CDTF">2020-11-19T23:39:15Z</dcterms:modified>
</cp:coreProperties>
</file>